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65.xml" ContentType="application/vnd.ms-excel.controlproperti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rda\Desktop\"/>
    </mc:Choice>
  </mc:AlternateContent>
  <workbookProtection workbookAlgorithmName="SHA-512" workbookHashValue="4ogRQ0rts86PnVqZ+/qAc2BqRAeoXdw8q1HoCKcpPIZPxXYl5KUTlNO14MxZZgUvLjNdnFt7HU/NrqrbR4LelQ==" workbookSaltValue="s2WIhpRYlZALL90xbbkJfw==" workbookSpinCount="100000" lockStructure="1"/>
  <bookViews>
    <workbookView xWindow="0" yWindow="0" windowWidth="20490" windowHeight="7530" tabRatio="741"/>
  </bookViews>
  <sheets>
    <sheet name="Schachtselector" sheetId="1" r:id="rId1"/>
    <sheet name="Schachtanfrage" sheetId="6" r:id="rId2"/>
    <sheet name="Sprachen" sheetId="5" state="hidden" r:id="rId3"/>
    <sheet name="Übertragung" sheetId="8" state="hidden" r:id="rId4"/>
    <sheet name="Aufsicht" sheetId="10" state="hidden" r:id="rId5"/>
    <sheet name="Kollision" sheetId="7" state="hidden" r:id="rId6"/>
    <sheet name="Tabelle2" sheetId="2" state="hidden" r:id="rId7"/>
    <sheet name="Tabelle3" sheetId="3" state="hidden" r:id="rId8"/>
    <sheet name="Linkauswahl" sheetId="4" state="hidden" r:id="rId9"/>
    <sheet name="PDL" sheetId="13" state="hidden" r:id="rId10"/>
    <sheet name="Berechnung PDL" sheetId="12" state="hidden" r:id="rId11"/>
    <sheet name="V Rechner" sheetId="11" state="hidden" r:id="rId12"/>
  </sheets>
  <definedNames>
    <definedName name="au">Tabelle2!$W$130</definedName>
    <definedName name="bd">Tabelle3!$AG$20</definedName>
    <definedName name="DA">Kollision!$F$37:$F$45</definedName>
    <definedName name="DA_75" comment="DA" localSheetId="1">Kollision!$F$37:$F$44</definedName>
    <definedName name="DAs" localSheetId="1">Kollision!$F$37:$F$45</definedName>
    <definedName name="_xlnm.Print_Area" localSheetId="9">PDL!$A$1:$J$33</definedName>
    <definedName name="_xlnm.Print_Area" localSheetId="1">Schachtanfrage!$B$1:$N$119</definedName>
    <definedName name="_xlnm.Print_Area" localSheetId="0">Schachtselector!$A$1:$H$232</definedName>
  </definedNames>
  <calcPr calcId="152511"/>
  <customWorkbookViews>
    <customWorkbookView name="Blaser Tim - Persönliche Ansicht" guid="{293DBBB2-31AB-49B6-80A6-A09BA6CFC857}" mergeInterval="0" personalView="1" maximized="1" xWindow="-8" yWindow="-8" windowWidth="1296" windowHeight="1000" tabRatio="741" activeSheetId="1"/>
    <customWorkbookView name="Dettwiler Matthias - Persönliche Ansicht" guid="{94E92B89-7E11-4D1B-8822-B6B0BD88CF68}" mergeInterval="0" personalView="1" maximized="1" xWindow="-8" yWindow="-8" windowWidth="1296" windowHeight="69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0" l="1"/>
  <c r="M42" i="6"/>
  <c r="M37" i="6"/>
  <c r="M32" i="6"/>
  <c r="M27" i="6"/>
  <c r="B54" i="10"/>
  <c r="B51" i="10"/>
  <c r="B48" i="10"/>
  <c r="B45" i="10"/>
  <c r="B42" i="10"/>
  <c r="B36" i="10"/>
  <c r="E29" i="6"/>
  <c r="BJ24" i="3"/>
  <c r="L42" i="6"/>
  <c r="L37" i="6"/>
  <c r="H55" i="12" l="1"/>
  <c r="C29" i="13"/>
  <c r="A29" i="13"/>
  <c r="C28" i="13"/>
  <c r="A26" i="13"/>
  <c r="R31" i="12"/>
  <c r="A4" i="13" s="1"/>
  <c r="N38" i="12"/>
  <c r="G10" i="13"/>
  <c r="J37" i="12"/>
  <c r="G9" i="13" s="1"/>
  <c r="J38" i="12"/>
  <c r="J39" i="12"/>
  <c r="G11" i="13" s="1"/>
  <c r="J40" i="12"/>
  <c r="G12" i="13" s="1"/>
  <c r="J41" i="12"/>
  <c r="G13" i="13" s="1"/>
  <c r="J42" i="12"/>
  <c r="G14" i="13" s="1"/>
  <c r="J43" i="12"/>
  <c r="G15" i="13" s="1"/>
  <c r="J44" i="12"/>
  <c r="G16" i="13" s="1"/>
  <c r="J45" i="12"/>
  <c r="G17" i="13" s="1"/>
  <c r="J46" i="12"/>
  <c r="G18" i="13" s="1"/>
  <c r="J47" i="12"/>
  <c r="G19" i="13" s="1"/>
  <c r="J48" i="12"/>
  <c r="G20" i="13" s="1"/>
  <c r="J49" i="12"/>
  <c r="G21" i="13" s="1"/>
  <c r="J50" i="12"/>
  <c r="G22" i="13" s="1"/>
  <c r="O35" i="12"/>
  <c r="D7" i="13" s="1"/>
  <c r="O36" i="12"/>
  <c r="D8" i="13" s="1"/>
  <c r="O37" i="12"/>
  <c r="D9" i="13" s="1"/>
  <c r="O38" i="12"/>
  <c r="D10" i="13" s="1"/>
  <c r="O39" i="12"/>
  <c r="D11" i="13" s="1"/>
  <c r="O40" i="12"/>
  <c r="D12" i="13" s="1"/>
  <c r="O41" i="12"/>
  <c r="D13" i="13" s="1"/>
  <c r="O42" i="12"/>
  <c r="D14" i="13" s="1"/>
  <c r="O43" i="12"/>
  <c r="D15" i="13" s="1"/>
  <c r="O44" i="12"/>
  <c r="D16" i="13" s="1"/>
  <c r="O45" i="12"/>
  <c r="D17" i="13" s="1"/>
  <c r="O46" i="12"/>
  <c r="D18" i="13" s="1"/>
  <c r="O47" i="12"/>
  <c r="D19" i="13" s="1"/>
  <c r="O48" i="12"/>
  <c r="D20" i="13" s="1"/>
  <c r="O49" i="12"/>
  <c r="D21" i="13" s="1"/>
  <c r="O50" i="12"/>
  <c r="D22" i="13" s="1"/>
  <c r="O34" i="12"/>
  <c r="D6" i="13" s="1"/>
  <c r="C22" i="13"/>
  <c r="F50" i="12"/>
  <c r="A22" i="13" s="1"/>
  <c r="F35" i="12"/>
  <c r="A7" i="13" s="1"/>
  <c r="F36" i="12"/>
  <c r="A8" i="13" s="1"/>
  <c r="F37" i="12"/>
  <c r="A9" i="13" s="1"/>
  <c r="F38" i="12"/>
  <c r="A10" i="13" s="1"/>
  <c r="F39" i="12"/>
  <c r="A11" i="13" s="1"/>
  <c r="F40" i="12"/>
  <c r="A12" i="13" s="1"/>
  <c r="F41" i="12"/>
  <c r="A13" i="13" s="1"/>
  <c r="F42" i="12"/>
  <c r="A14" i="13" s="1"/>
  <c r="F43" i="12"/>
  <c r="A16" i="13" s="1"/>
  <c r="F44" i="12"/>
  <c r="F45" i="12"/>
  <c r="A17" i="13" s="1"/>
  <c r="F46" i="12"/>
  <c r="A18" i="13" s="1"/>
  <c r="F47" i="12"/>
  <c r="A19" i="13" s="1"/>
  <c r="F48" i="12"/>
  <c r="A20" i="13" s="1"/>
  <c r="F49" i="12"/>
  <c r="A21" i="13" s="1"/>
  <c r="F34" i="12"/>
  <c r="A6" i="13" s="1"/>
  <c r="A24" i="13"/>
  <c r="M34" i="12"/>
  <c r="E96" i="12"/>
  <c r="N50" i="12" l="1"/>
  <c r="N37" i="12"/>
  <c r="N49" i="12"/>
  <c r="N45" i="12"/>
  <c r="A15" i="13"/>
  <c r="C30" i="13"/>
  <c r="N39" i="12"/>
  <c r="N41" i="12"/>
  <c r="N40" i="12"/>
  <c r="N42" i="12"/>
  <c r="N43" i="12"/>
  <c r="N44" i="12"/>
  <c r="N46" i="12"/>
  <c r="N47" i="12"/>
  <c r="N48" i="12"/>
  <c r="T32" i="12"/>
  <c r="A25" i="13"/>
  <c r="A28" i="13"/>
  <c r="D24" i="13"/>
  <c r="D25" i="13"/>
  <c r="D28" i="13"/>
  <c r="D27" i="13"/>
  <c r="D26" i="13"/>
  <c r="Q31" i="12"/>
  <c r="C4" i="13" s="1"/>
  <c r="AD51" i="12"/>
  <c r="AE51" i="12" s="1"/>
  <c r="E11" i="13"/>
  <c r="E12" i="13"/>
  <c r="E13" i="13"/>
  <c r="E14" i="13"/>
  <c r="E15" i="13"/>
  <c r="E17" i="13"/>
  <c r="E18" i="13"/>
  <c r="E19" i="13"/>
  <c r="E20" i="13"/>
  <c r="AF51" i="12" l="1"/>
  <c r="AG51" i="12" s="1"/>
  <c r="G34" i="12"/>
  <c r="H34" i="12" s="1"/>
  <c r="Y54" i="12" l="1"/>
  <c r="Y53" i="12"/>
  <c r="Y52" i="12"/>
  <c r="Y51" i="12"/>
  <c r="Y50" i="12"/>
  <c r="M50" i="12"/>
  <c r="E22" i="13" s="1"/>
  <c r="K50" i="12"/>
  <c r="G50" i="12"/>
  <c r="H50" i="12" s="1"/>
  <c r="Y49" i="12"/>
  <c r="M49" i="12"/>
  <c r="E21" i="13" s="1"/>
  <c r="K49" i="12"/>
  <c r="C21" i="13"/>
  <c r="G49" i="12"/>
  <c r="H49" i="12" s="1"/>
  <c r="Y48" i="12"/>
  <c r="M48" i="12"/>
  <c r="K48" i="12"/>
  <c r="C20" i="13"/>
  <c r="G48" i="12"/>
  <c r="H48" i="12" s="1"/>
  <c r="Y47" i="12"/>
  <c r="M47" i="12"/>
  <c r="K47" i="12"/>
  <c r="C19" i="13"/>
  <c r="G47" i="12"/>
  <c r="H47" i="12" s="1"/>
  <c r="Y46" i="12"/>
  <c r="M46" i="12"/>
  <c r="K46" i="12"/>
  <c r="C18" i="13"/>
  <c r="G46" i="12"/>
  <c r="H46" i="12" s="1"/>
  <c r="Y45" i="12"/>
  <c r="M45" i="12"/>
  <c r="K45" i="12"/>
  <c r="C17" i="13"/>
  <c r="G45" i="12"/>
  <c r="H45" i="12" s="1"/>
  <c r="Y44" i="12"/>
  <c r="M44" i="12"/>
  <c r="E16" i="13" s="1"/>
  <c r="K44" i="12"/>
  <c r="C16" i="13"/>
  <c r="G44" i="12"/>
  <c r="H44" i="12" s="1"/>
  <c r="Y43" i="12"/>
  <c r="M43" i="12"/>
  <c r="K43" i="12"/>
  <c r="C15" i="13"/>
  <c r="G43" i="12"/>
  <c r="H43" i="12" s="1"/>
  <c r="Y42" i="12"/>
  <c r="M42" i="12"/>
  <c r="K42" i="12"/>
  <c r="C14" i="13"/>
  <c r="G42" i="12"/>
  <c r="H42" i="12" s="1"/>
  <c r="Y41" i="12"/>
  <c r="M41" i="12"/>
  <c r="K41" i="12"/>
  <c r="C13" i="13"/>
  <c r="G41" i="12"/>
  <c r="H41" i="12" s="1"/>
  <c r="Y40" i="12"/>
  <c r="M40" i="12"/>
  <c r="K40" i="12"/>
  <c r="C12" i="13"/>
  <c r="G40" i="12"/>
  <c r="H40" i="12" s="1"/>
  <c r="Y39" i="12"/>
  <c r="M39" i="12"/>
  <c r="K39" i="12"/>
  <c r="C11" i="13"/>
  <c r="G39" i="12"/>
  <c r="H39" i="12" s="1"/>
  <c r="Y38" i="12"/>
  <c r="M38" i="12"/>
  <c r="E10" i="13" s="1"/>
  <c r="K38" i="12"/>
  <c r="C10" i="13"/>
  <c r="G38" i="12"/>
  <c r="H38" i="12" s="1"/>
  <c r="Y37" i="12"/>
  <c r="M37" i="12"/>
  <c r="E9" i="13" s="1"/>
  <c r="K37" i="12"/>
  <c r="C9" i="13"/>
  <c r="G37" i="12"/>
  <c r="H37" i="12" s="1"/>
  <c r="Y36" i="12"/>
  <c r="M36" i="12"/>
  <c r="E8" i="13" s="1"/>
  <c r="K36" i="12"/>
  <c r="G36" i="12"/>
  <c r="H36" i="12" s="1"/>
  <c r="Y35" i="12"/>
  <c r="M35" i="12"/>
  <c r="E7" i="13" s="1"/>
  <c r="K35" i="12"/>
  <c r="G35" i="12"/>
  <c r="H35" i="12" s="1"/>
  <c r="Y34" i="12"/>
  <c r="E6" i="13"/>
  <c r="K34" i="12"/>
  <c r="Y33" i="12"/>
  <c r="J36" i="12" l="1"/>
  <c r="J35" i="12"/>
  <c r="N35" i="12" s="1"/>
  <c r="J34" i="12"/>
  <c r="J8" i="11"/>
  <c r="J4" i="11" s="1"/>
  <c r="J5" i="11" s="1"/>
  <c r="G8" i="13" l="1"/>
  <c r="N36" i="12"/>
  <c r="G6" i="13"/>
  <c r="N34" i="12"/>
  <c r="G7" i="13"/>
  <c r="C7" i="13"/>
  <c r="C8" i="13"/>
  <c r="J6" i="11"/>
  <c r="J7" i="11" s="1"/>
  <c r="J9" i="11" s="1"/>
  <c r="BJ56" i="3"/>
  <c r="W498" i="3"/>
  <c r="W496" i="3"/>
  <c r="W495" i="3"/>
  <c r="X494" i="3"/>
  <c r="X569" i="3"/>
  <c r="R521" i="3"/>
  <c r="R517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S410" i="3"/>
  <c r="S407" i="3"/>
  <c r="S405" i="3"/>
  <c r="S403" i="3"/>
  <c r="S369" i="3"/>
  <c r="S370" i="3" s="1"/>
  <c r="S371" i="3" s="1"/>
  <c r="S372" i="3" s="1"/>
  <c r="S373" i="3" s="1"/>
  <c r="S374" i="3" s="1"/>
  <c r="S375" i="3" s="1"/>
  <c r="S376" i="3" s="1"/>
  <c r="S377" i="3" s="1"/>
  <c r="S378" i="3" s="1"/>
  <c r="O618" i="3"/>
  <c r="O619" i="3"/>
  <c r="O616" i="3"/>
  <c r="O617" i="3"/>
  <c r="R612" i="3"/>
  <c r="R608" i="3" l="1"/>
  <c r="W507" i="3" l="1"/>
  <c r="O608" i="3"/>
  <c r="O609" i="3"/>
  <c r="O610" i="3"/>
  <c r="O611" i="3"/>
  <c r="O612" i="3"/>
  <c r="O613" i="3"/>
  <c r="O614" i="3"/>
  <c r="O615" i="3"/>
  <c r="R582" i="3" l="1"/>
  <c r="S52" i="3"/>
  <c r="S49" i="3"/>
  <c r="S50" i="3"/>
  <c r="S51" i="3"/>
  <c r="S48" i="3"/>
  <c r="S47" i="3"/>
  <c r="U64" i="7" l="1"/>
  <c r="U66" i="7"/>
  <c r="L43" i="6"/>
  <c r="A26" i="10"/>
  <c r="B26" i="10"/>
  <c r="C26" i="10"/>
  <c r="A27" i="10"/>
  <c r="B27" i="10"/>
  <c r="C27" i="10"/>
  <c r="A28" i="10"/>
  <c r="B28" i="10"/>
  <c r="C28" i="10"/>
  <c r="A29" i="10"/>
  <c r="B29" i="10"/>
  <c r="C29" i="10"/>
  <c r="C8" i="10"/>
  <c r="C9" i="10"/>
  <c r="C10" i="10"/>
  <c r="C11" i="10"/>
  <c r="C12" i="10"/>
  <c r="C13" i="10"/>
  <c r="C14" i="10"/>
  <c r="C7" i="10"/>
  <c r="E12" i="10" l="1"/>
  <c r="E14" i="10"/>
  <c r="E11" i="10"/>
  <c r="E13" i="10"/>
  <c r="AH36" i="10"/>
  <c r="AH37" i="10" s="1"/>
  <c r="AI37" i="10" s="1"/>
  <c r="AK54" i="10"/>
  <c r="AK57" i="10" s="1"/>
  <c r="AJ52" i="10"/>
  <c r="AJ57" i="10" s="1"/>
  <c r="AK51" i="10"/>
  <c r="AK52" i="10" s="1"/>
  <c r="AK49" i="10"/>
  <c r="AK55" i="10" l="1"/>
  <c r="AK58" i="10" s="1"/>
  <c r="AJ58" i="10"/>
  <c r="K511" i="4"/>
  <c r="K491" i="4"/>
  <c r="K503" i="4"/>
  <c r="K471" i="4"/>
  <c r="K469" i="4"/>
  <c r="D176" i="4"/>
  <c r="D159" i="4"/>
  <c r="K488" i="4" s="1"/>
  <c r="D160" i="4"/>
  <c r="K489" i="4" s="1"/>
  <c r="D161" i="4"/>
  <c r="K508" i="4" s="1"/>
  <c r="D162" i="4"/>
  <c r="K509" i="4" s="1"/>
  <c r="D163" i="4"/>
  <c r="K492" i="4" s="1"/>
  <c r="D164" i="4"/>
  <c r="K493" i="4" s="1"/>
  <c r="D165" i="4"/>
  <c r="K512" i="4" s="1"/>
  <c r="D166" i="4"/>
  <c r="K513" i="4" s="1"/>
  <c r="D167" i="4"/>
  <c r="K496" i="4" s="1"/>
  <c r="D168" i="4"/>
  <c r="K497" i="4" s="1"/>
  <c r="D169" i="4"/>
  <c r="K516" i="4" s="1"/>
  <c r="D170" i="4"/>
  <c r="K517" i="4" s="1"/>
  <c r="D171" i="4"/>
  <c r="K500" i="4" s="1"/>
  <c r="D172" i="4"/>
  <c r="K501" i="4" s="1"/>
  <c r="D173" i="4"/>
  <c r="K520" i="4" s="1"/>
  <c r="D174" i="4"/>
  <c r="K521" i="4" s="1"/>
  <c r="D175" i="4"/>
  <c r="K504" i="4" s="1"/>
  <c r="D158" i="4"/>
  <c r="K487" i="4" s="1"/>
  <c r="K483" i="4" l="1"/>
  <c r="K479" i="4"/>
  <c r="K499" i="4"/>
  <c r="K519" i="4"/>
  <c r="K505" i="4"/>
  <c r="K507" i="4"/>
  <c r="K475" i="4"/>
  <c r="K495" i="4"/>
  <c r="K515" i="4"/>
  <c r="K486" i="4"/>
  <c r="K482" i="4"/>
  <c r="K478" i="4"/>
  <c r="K474" i="4"/>
  <c r="K470" i="4"/>
  <c r="K502" i="4"/>
  <c r="K498" i="4"/>
  <c r="K494" i="4"/>
  <c r="K490" i="4"/>
  <c r="K522" i="4"/>
  <c r="K518" i="4"/>
  <c r="K514" i="4"/>
  <c r="K510" i="4"/>
  <c r="K506" i="4"/>
  <c r="K485" i="4"/>
  <c r="K481" i="4"/>
  <c r="K477" i="4"/>
  <c r="K473" i="4"/>
  <c r="K484" i="4"/>
  <c r="K480" i="4"/>
  <c r="K476" i="4"/>
  <c r="K472" i="4"/>
  <c r="BH55" i="3"/>
  <c r="BH56" i="3"/>
  <c r="BH57" i="3"/>
  <c r="BH58" i="3"/>
  <c r="C2" i="10"/>
  <c r="BH59" i="3" l="1"/>
  <c r="C4" i="10" s="1"/>
  <c r="D14" i="10"/>
  <c r="D13" i="10"/>
  <c r="D12" i="10"/>
  <c r="K676" i="4"/>
  <c r="K677" i="4"/>
  <c r="K678" i="4"/>
  <c r="K679" i="4"/>
  <c r="K680" i="4"/>
  <c r="K681" i="4"/>
  <c r="K682" i="4"/>
  <c r="K683" i="4"/>
  <c r="K684" i="4"/>
  <c r="K685" i="4"/>
  <c r="K686" i="4"/>
  <c r="K687" i="4"/>
  <c r="K688" i="4"/>
  <c r="K689" i="4"/>
  <c r="K690" i="4"/>
  <c r="K691" i="4"/>
  <c r="K692" i="4"/>
  <c r="K693" i="4"/>
  <c r="K675" i="4"/>
  <c r="K657" i="4"/>
  <c r="K658" i="4"/>
  <c r="K659" i="4"/>
  <c r="K660" i="4"/>
  <c r="K661" i="4"/>
  <c r="K662" i="4"/>
  <c r="K663" i="4"/>
  <c r="K664" i="4"/>
  <c r="K665" i="4"/>
  <c r="K666" i="4"/>
  <c r="K667" i="4"/>
  <c r="K668" i="4"/>
  <c r="K669" i="4"/>
  <c r="K670" i="4"/>
  <c r="K671" i="4"/>
  <c r="K672" i="4"/>
  <c r="K673" i="4"/>
  <c r="K674" i="4"/>
  <c r="K656" i="4"/>
  <c r="K638" i="4"/>
  <c r="K639" i="4"/>
  <c r="K640" i="4"/>
  <c r="K641" i="4"/>
  <c r="K642" i="4"/>
  <c r="K643" i="4"/>
  <c r="K644" i="4"/>
  <c r="K645" i="4"/>
  <c r="K646" i="4"/>
  <c r="K647" i="4"/>
  <c r="K648" i="4"/>
  <c r="K649" i="4"/>
  <c r="K650" i="4"/>
  <c r="K651" i="4"/>
  <c r="K652" i="4"/>
  <c r="K653" i="4"/>
  <c r="K654" i="4"/>
  <c r="K655" i="4"/>
  <c r="K637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61" i="4"/>
  <c r="K554" i="4"/>
  <c r="K555" i="4"/>
  <c r="K556" i="4"/>
  <c r="K557" i="4"/>
  <c r="K558" i="4"/>
  <c r="K559" i="4"/>
  <c r="K560" i="4"/>
  <c r="K543" i="4"/>
  <c r="K544" i="4"/>
  <c r="K545" i="4"/>
  <c r="K546" i="4"/>
  <c r="K547" i="4"/>
  <c r="K548" i="4"/>
  <c r="K549" i="4"/>
  <c r="K550" i="4"/>
  <c r="K551" i="4"/>
  <c r="K552" i="4"/>
  <c r="K553" i="4"/>
  <c r="K542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23" i="4"/>
  <c r="D58" i="4" l="1"/>
  <c r="D59" i="4"/>
  <c r="D56" i="4"/>
  <c r="D57" i="4"/>
  <c r="N491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637" i="4"/>
  <c r="N638" i="4"/>
  <c r="N639" i="4"/>
  <c r="N640" i="4"/>
  <c r="N641" i="4"/>
  <c r="N642" i="4"/>
  <c r="N643" i="4"/>
  <c r="N644" i="4"/>
  <c r="N645" i="4"/>
  <c r="N646" i="4"/>
  <c r="N647" i="4"/>
  <c r="N648" i="4"/>
  <c r="N649" i="4"/>
  <c r="N650" i="4"/>
  <c r="N651" i="4"/>
  <c r="N652" i="4"/>
  <c r="N653" i="4"/>
  <c r="N654" i="4"/>
  <c r="N655" i="4"/>
  <c r="N656" i="4"/>
  <c r="N657" i="4"/>
  <c r="N658" i="4"/>
  <c r="N659" i="4"/>
  <c r="N660" i="4"/>
  <c r="N661" i="4"/>
  <c r="N662" i="4"/>
  <c r="N663" i="4"/>
  <c r="N664" i="4"/>
  <c r="N665" i="4"/>
  <c r="N666" i="4"/>
  <c r="N667" i="4"/>
  <c r="N668" i="4"/>
  <c r="N669" i="4"/>
  <c r="N670" i="4"/>
  <c r="N671" i="4"/>
  <c r="N672" i="4"/>
  <c r="N673" i="4"/>
  <c r="N674" i="4"/>
  <c r="N675" i="4"/>
  <c r="N676" i="4"/>
  <c r="N677" i="4"/>
  <c r="N678" i="4"/>
  <c r="N679" i="4"/>
  <c r="N680" i="4"/>
  <c r="N681" i="4"/>
  <c r="N682" i="4"/>
  <c r="N683" i="4"/>
  <c r="N684" i="4"/>
  <c r="N685" i="4"/>
  <c r="N686" i="4"/>
  <c r="N687" i="4"/>
  <c r="N688" i="4"/>
  <c r="N689" i="4"/>
  <c r="N690" i="4"/>
  <c r="N691" i="4"/>
  <c r="N692" i="4"/>
  <c r="N693" i="4"/>
  <c r="N750" i="4"/>
  <c r="K752" i="4"/>
  <c r="N752" i="4" s="1"/>
  <c r="K753" i="4"/>
  <c r="N753" i="4" s="1"/>
  <c r="K754" i="4"/>
  <c r="N754" i="4" s="1"/>
  <c r="K755" i="4"/>
  <c r="N755" i="4" s="1"/>
  <c r="K756" i="4"/>
  <c r="N756" i="4" s="1"/>
  <c r="K757" i="4"/>
  <c r="N757" i="4" s="1"/>
  <c r="K758" i="4"/>
  <c r="N758" i="4" s="1"/>
  <c r="K759" i="4"/>
  <c r="N759" i="4" s="1"/>
  <c r="K760" i="4"/>
  <c r="N760" i="4" s="1"/>
  <c r="K761" i="4"/>
  <c r="N761" i="4" s="1"/>
  <c r="K762" i="4"/>
  <c r="N762" i="4" s="1"/>
  <c r="K763" i="4"/>
  <c r="N763" i="4" s="1"/>
  <c r="K764" i="4"/>
  <c r="N764" i="4" s="1"/>
  <c r="K765" i="4"/>
  <c r="N765" i="4" s="1"/>
  <c r="K766" i="4"/>
  <c r="N766" i="4" s="1"/>
  <c r="K767" i="4"/>
  <c r="N767" i="4" s="1"/>
  <c r="K768" i="4"/>
  <c r="N768" i="4" s="1"/>
  <c r="K769" i="4"/>
  <c r="N769" i="4" s="1"/>
  <c r="K751" i="4"/>
  <c r="N751" i="4" s="1"/>
  <c r="K733" i="4"/>
  <c r="N733" i="4" s="1"/>
  <c r="K734" i="4"/>
  <c r="N734" i="4" s="1"/>
  <c r="K735" i="4"/>
  <c r="N735" i="4" s="1"/>
  <c r="K736" i="4"/>
  <c r="N736" i="4" s="1"/>
  <c r="K737" i="4"/>
  <c r="N737" i="4" s="1"/>
  <c r="K738" i="4"/>
  <c r="N738" i="4" s="1"/>
  <c r="K739" i="4"/>
  <c r="N739" i="4" s="1"/>
  <c r="K740" i="4"/>
  <c r="N740" i="4" s="1"/>
  <c r="K741" i="4"/>
  <c r="N741" i="4" s="1"/>
  <c r="K742" i="4"/>
  <c r="N742" i="4" s="1"/>
  <c r="K743" i="4"/>
  <c r="N743" i="4" s="1"/>
  <c r="K744" i="4"/>
  <c r="N744" i="4" s="1"/>
  <c r="K745" i="4"/>
  <c r="N745" i="4" s="1"/>
  <c r="K746" i="4"/>
  <c r="N746" i="4" s="1"/>
  <c r="K747" i="4"/>
  <c r="N747" i="4" s="1"/>
  <c r="K748" i="4"/>
  <c r="N748" i="4" s="1"/>
  <c r="K749" i="4"/>
  <c r="N749" i="4" s="1"/>
  <c r="K750" i="4"/>
  <c r="K732" i="4"/>
  <c r="N732" i="4" s="1"/>
  <c r="K714" i="4"/>
  <c r="N714" i="4" s="1"/>
  <c r="K715" i="4"/>
  <c r="N715" i="4" s="1"/>
  <c r="K716" i="4"/>
  <c r="N716" i="4" s="1"/>
  <c r="K717" i="4"/>
  <c r="N717" i="4" s="1"/>
  <c r="K718" i="4"/>
  <c r="N718" i="4" s="1"/>
  <c r="K719" i="4"/>
  <c r="N719" i="4" s="1"/>
  <c r="K720" i="4"/>
  <c r="N720" i="4" s="1"/>
  <c r="K721" i="4"/>
  <c r="N721" i="4" s="1"/>
  <c r="K722" i="4"/>
  <c r="N722" i="4" s="1"/>
  <c r="K723" i="4"/>
  <c r="N723" i="4" s="1"/>
  <c r="K724" i="4"/>
  <c r="N724" i="4" s="1"/>
  <c r="K725" i="4"/>
  <c r="N725" i="4" s="1"/>
  <c r="K726" i="4"/>
  <c r="N726" i="4" s="1"/>
  <c r="K727" i="4"/>
  <c r="N727" i="4" s="1"/>
  <c r="K728" i="4"/>
  <c r="N728" i="4" s="1"/>
  <c r="K729" i="4"/>
  <c r="N729" i="4" s="1"/>
  <c r="K730" i="4"/>
  <c r="N730" i="4" s="1"/>
  <c r="K731" i="4"/>
  <c r="N731" i="4" s="1"/>
  <c r="K713" i="4"/>
  <c r="N713" i="4" s="1"/>
  <c r="K695" i="4"/>
  <c r="N695" i="4" s="1"/>
  <c r="K696" i="4"/>
  <c r="N696" i="4" s="1"/>
  <c r="K697" i="4"/>
  <c r="N697" i="4" s="1"/>
  <c r="K698" i="4"/>
  <c r="N698" i="4" s="1"/>
  <c r="K699" i="4"/>
  <c r="N699" i="4" s="1"/>
  <c r="K700" i="4"/>
  <c r="N700" i="4" s="1"/>
  <c r="K701" i="4"/>
  <c r="N701" i="4" s="1"/>
  <c r="K702" i="4"/>
  <c r="N702" i="4" s="1"/>
  <c r="K703" i="4"/>
  <c r="N703" i="4" s="1"/>
  <c r="K704" i="4"/>
  <c r="N704" i="4" s="1"/>
  <c r="K705" i="4"/>
  <c r="N705" i="4" s="1"/>
  <c r="K706" i="4"/>
  <c r="N706" i="4" s="1"/>
  <c r="K707" i="4"/>
  <c r="N707" i="4" s="1"/>
  <c r="K708" i="4"/>
  <c r="N708" i="4" s="1"/>
  <c r="K709" i="4"/>
  <c r="N709" i="4" s="1"/>
  <c r="K710" i="4"/>
  <c r="N710" i="4" s="1"/>
  <c r="K711" i="4"/>
  <c r="N711" i="4" s="1"/>
  <c r="K712" i="4"/>
  <c r="N712" i="4" s="1"/>
  <c r="K694" i="4"/>
  <c r="N694" i="4" s="1"/>
  <c r="K619" i="4"/>
  <c r="N619" i="4" s="1"/>
  <c r="K620" i="4"/>
  <c r="N620" i="4" s="1"/>
  <c r="K621" i="4"/>
  <c r="N621" i="4" s="1"/>
  <c r="K622" i="4"/>
  <c r="N622" i="4" s="1"/>
  <c r="K623" i="4"/>
  <c r="N623" i="4" s="1"/>
  <c r="K624" i="4"/>
  <c r="N624" i="4" s="1"/>
  <c r="K625" i="4"/>
  <c r="N625" i="4" s="1"/>
  <c r="K626" i="4"/>
  <c r="N626" i="4" s="1"/>
  <c r="K627" i="4"/>
  <c r="N627" i="4" s="1"/>
  <c r="K628" i="4"/>
  <c r="N628" i="4" s="1"/>
  <c r="K629" i="4"/>
  <c r="N629" i="4" s="1"/>
  <c r="K630" i="4"/>
  <c r="N630" i="4" s="1"/>
  <c r="K631" i="4"/>
  <c r="N631" i="4" s="1"/>
  <c r="K632" i="4"/>
  <c r="N632" i="4" s="1"/>
  <c r="K633" i="4"/>
  <c r="N633" i="4" s="1"/>
  <c r="K634" i="4"/>
  <c r="N634" i="4" s="1"/>
  <c r="K635" i="4"/>
  <c r="N635" i="4" s="1"/>
  <c r="K636" i="4"/>
  <c r="N636" i="4" s="1"/>
  <c r="K618" i="4"/>
  <c r="N618" i="4" s="1"/>
  <c r="K600" i="4"/>
  <c r="N600" i="4" s="1"/>
  <c r="K601" i="4"/>
  <c r="N601" i="4" s="1"/>
  <c r="K602" i="4"/>
  <c r="N602" i="4" s="1"/>
  <c r="K603" i="4"/>
  <c r="N603" i="4" s="1"/>
  <c r="K604" i="4"/>
  <c r="N604" i="4" s="1"/>
  <c r="K605" i="4"/>
  <c r="N605" i="4" s="1"/>
  <c r="K606" i="4"/>
  <c r="N606" i="4" s="1"/>
  <c r="K607" i="4"/>
  <c r="N607" i="4" s="1"/>
  <c r="K608" i="4"/>
  <c r="N608" i="4" s="1"/>
  <c r="K609" i="4"/>
  <c r="N609" i="4" s="1"/>
  <c r="K610" i="4"/>
  <c r="N610" i="4" s="1"/>
  <c r="K611" i="4"/>
  <c r="N611" i="4" s="1"/>
  <c r="K612" i="4"/>
  <c r="N612" i="4" s="1"/>
  <c r="K613" i="4"/>
  <c r="N613" i="4" s="1"/>
  <c r="K614" i="4"/>
  <c r="N614" i="4" s="1"/>
  <c r="K615" i="4"/>
  <c r="N615" i="4" s="1"/>
  <c r="K616" i="4"/>
  <c r="N616" i="4" s="1"/>
  <c r="K617" i="4"/>
  <c r="N617" i="4" s="1"/>
  <c r="K599" i="4"/>
  <c r="N599" i="4" s="1"/>
  <c r="K581" i="4"/>
  <c r="N581" i="4" s="1"/>
  <c r="K582" i="4"/>
  <c r="N582" i="4" s="1"/>
  <c r="K583" i="4"/>
  <c r="N583" i="4" s="1"/>
  <c r="K584" i="4"/>
  <c r="N584" i="4" s="1"/>
  <c r="K585" i="4"/>
  <c r="N585" i="4" s="1"/>
  <c r="K586" i="4"/>
  <c r="N586" i="4" s="1"/>
  <c r="K587" i="4"/>
  <c r="N587" i="4" s="1"/>
  <c r="K588" i="4"/>
  <c r="N588" i="4" s="1"/>
  <c r="K589" i="4"/>
  <c r="N589" i="4" s="1"/>
  <c r="K590" i="4"/>
  <c r="N590" i="4" s="1"/>
  <c r="K591" i="4"/>
  <c r="N591" i="4" s="1"/>
  <c r="K592" i="4"/>
  <c r="N592" i="4" s="1"/>
  <c r="K593" i="4"/>
  <c r="N593" i="4" s="1"/>
  <c r="K594" i="4"/>
  <c r="N594" i="4" s="1"/>
  <c r="K595" i="4"/>
  <c r="N595" i="4" s="1"/>
  <c r="K596" i="4"/>
  <c r="N596" i="4" s="1"/>
  <c r="K597" i="4"/>
  <c r="N597" i="4" s="1"/>
  <c r="K598" i="4"/>
  <c r="N598" i="4" s="1"/>
  <c r="K580" i="4"/>
  <c r="N580" i="4" s="1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05" i="4"/>
  <c r="N488" i="4"/>
  <c r="N489" i="4"/>
  <c r="N490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487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69" i="4"/>
  <c r="K452" i="4"/>
  <c r="N452" i="4" s="1"/>
  <c r="K453" i="4"/>
  <c r="N453" i="4" s="1"/>
  <c r="K454" i="4"/>
  <c r="N454" i="4" s="1"/>
  <c r="K455" i="4"/>
  <c r="N455" i="4" s="1"/>
  <c r="K456" i="4"/>
  <c r="N456" i="4" s="1"/>
  <c r="K457" i="4"/>
  <c r="N457" i="4" s="1"/>
  <c r="K458" i="4"/>
  <c r="N458" i="4" s="1"/>
  <c r="K459" i="4"/>
  <c r="N459" i="4" s="1"/>
  <c r="K460" i="4"/>
  <c r="N460" i="4" s="1"/>
  <c r="K461" i="4"/>
  <c r="N461" i="4" s="1"/>
  <c r="K462" i="4"/>
  <c r="N462" i="4" s="1"/>
  <c r="K463" i="4"/>
  <c r="N463" i="4" s="1"/>
  <c r="K464" i="4"/>
  <c r="N464" i="4" s="1"/>
  <c r="K465" i="4"/>
  <c r="N465" i="4" s="1"/>
  <c r="K466" i="4"/>
  <c r="N466" i="4" s="1"/>
  <c r="K467" i="4"/>
  <c r="N467" i="4" s="1"/>
  <c r="K468" i="4"/>
  <c r="N468" i="4" s="1"/>
  <c r="K451" i="4"/>
  <c r="N451" i="4" s="1"/>
  <c r="K434" i="4"/>
  <c r="N434" i="4" s="1"/>
  <c r="K435" i="4"/>
  <c r="N435" i="4" s="1"/>
  <c r="K436" i="4"/>
  <c r="N436" i="4" s="1"/>
  <c r="K437" i="4"/>
  <c r="N437" i="4" s="1"/>
  <c r="K438" i="4"/>
  <c r="N438" i="4" s="1"/>
  <c r="K439" i="4"/>
  <c r="N439" i="4" s="1"/>
  <c r="K440" i="4"/>
  <c r="N440" i="4" s="1"/>
  <c r="K441" i="4"/>
  <c r="N441" i="4" s="1"/>
  <c r="K442" i="4"/>
  <c r="N442" i="4" s="1"/>
  <c r="K443" i="4"/>
  <c r="N443" i="4" s="1"/>
  <c r="K444" i="4"/>
  <c r="N444" i="4" s="1"/>
  <c r="K445" i="4"/>
  <c r="N445" i="4" s="1"/>
  <c r="K446" i="4"/>
  <c r="N446" i="4" s="1"/>
  <c r="K447" i="4"/>
  <c r="N447" i="4" s="1"/>
  <c r="K448" i="4"/>
  <c r="N448" i="4" s="1"/>
  <c r="K449" i="4"/>
  <c r="N449" i="4" s="1"/>
  <c r="K450" i="4"/>
  <c r="N450" i="4" s="1"/>
  <c r="K433" i="4"/>
  <c r="N433" i="4" s="1"/>
  <c r="K416" i="4"/>
  <c r="N416" i="4" s="1"/>
  <c r="K417" i="4"/>
  <c r="N417" i="4" s="1"/>
  <c r="K418" i="4"/>
  <c r="N418" i="4" s="1"/>
  <c r="K419" i="4"/>
  <c r="N419" i="4" s="1"/>
  <c r="K420" i="4"/>
  <c r="N420" i="4" s="1"/>
  <c r="K421" i="4"/>
  <c r="N421" i="4" s="1"/>
  <c r="K422" i="4"/>
  <c r="N422" i="4" s="1"/>
  <c r="K423" i="4"/>
  <c r="N423" i="4" s="1"/>
  <c r="K424" i="4"/>
  <c r="N424" i="4" s="1"/>
  <c r="K425" i="4"/>
  <c r="N425" i="4" s="1"/>
  <c r="K426" i="4"/>
  <c r="N426" i="4" s="1"/>
  <c r="K427" i="4"/>
  <c r="N427" i="4" s="1"/>
  <c r="K428" i="4"/>
  <c r="N428" i="4" s="1"/>
  <c r="K429" i="4"/>
  <c r="N429" i="4" s="1"/>
  <c r="K430" i="4"/>
  <c r="N430" i="4" s="1"/>
  <c r="K431" i="4"/>
  <c r="N431" i="4" s="1"/>
  <c r="K432" i="4"/>
  <c r="N432" i="4" s="1"/>
  <c r="K415" i="4"/>
  <c r="N415" i="4" s="1"/>
  <c r="K410" i="4"/>
  <c r="N410" i="4" s="1"/>
  <c r="K411" i="4"/>
  <c r="N411" i="4" s="1"/>
  <c r="K412" i="4"/>
  <c r="N412" i="4" s="1"/>
  <c r="K413" i="4"/>
  <c r="N413" i="4" s="1"/>
  <c r="K414" i="4"/>
  <c r="N414" i="4" s="1"/>
  <c r="K397" i="4"/>
  <c r="N397" i="4" s="1"/>
  <c r="K398" i="4"/>
  <c r="N398" i="4" s="1"/>
  <c r="K399" i="4"/>
  <c r="N399" i="4" s="1"/>
  <c r="K400" i="4"/>
  <c r="N400" i="4" s="1"/>
  <c r="K401" i="4"/>
  <c r="N401" i="4" s="1"/>
  <c r="K402" i="4"/>
  <c r="N402" i="4" s="1"/>
  <c r="K403" i="4"/>
  <c r="N403" i="4" s="1"/>
  <c r="K404" i="4"/>
  <c r="N404" i="4" s="1"/>
  <c r="K405" i="4"/>
  <c r="N405" i="4" s="1"/>
  <c r="K406" i="4"/>
  <c r="N406" i="4" s="1"/>
  <c r="K407" i="4"/>
  <c r="N407" i="4" s="1"/>
  <c r="K408" i="4"/>
  <c r="N408" i="4" s="1"/>
  <c r="K409" i="4"/>
  <c r="N409" i="4" s="1"/>
  <c r="K396" i="4"/>
  <c r="N396" i="4" s="1"/>
  <c r="K395" i="4"/>
  <c r="N395" i="4" s="1"/>
  <c r="K382" i="4"/>
  <c r="N382" i="4" s="1"/>
  <c r="K383" i="4"/>
  <c r="N383" i="4" s="1"/>
  <c r="K384" i="4"/>
  <c r="N384" i="4" s="1"/>
  <c r="K385" i="4"/>
  <c r="N385" i="4" s="1"/>
  <c r="K386" i="4"/>
  <c r="N386" i="4" s="1"/>
  <c r="K387" i="4"/>
  <c r="N387" i="4" s="1"/>
  <c r="K388" i="4"/>
  <c r="N388" i="4" s="1"/>
  <c r="K389" i="4"/>
  <c r="N389" i="4" s="1"/>
  <c r="K390" i="4"/>
  <c r="N390" i="4" s="1"/>
  <c r="K391" i="4"/>
  <c r="N391" i="4" s="1"/>
  <c r="K392" i="4"/>
  <c r="N392" i="4" s="1"/>
  <c r="K393" i="4"/>
  <c r="N393" i="4" s="1"/>
  <c r="K394" i="4"/>
  <c r="N394" i="4" s="1"/>
  <c r="K378" i="4"/>
  <c r="N378" i="4" s="1"/>
  <c r="K379" i="4"/>
  <c r="N379" i="4" s="1"/>
  <c r="K380" i="4"/>
  <c r="N380" i="4" s="1"/>
  <c r="K381" i="4"/>
  <c r="N381" i="4" s="1"/>
  <c r="K377" i="4"/>
  <c r="N377" i="4" s="1"/>
  <c r="K371" i="4"/>
  <c r="N371" i="4" s="1"/>
  <c r="K372" i="4"/>
  <c r="N372" i="4" s="1"/>
  <c r="K373" i="4"/>
  <c r="N373" i="4" s="1"/>
  <c r="K374" i="4"/>
  <c r="N374" i="4" s="1"/>
  <c r="K375" i="4"/>
  <c r="N375" i="4" s="1"/>
  <c r="K376" i="4"/>
  <c r="N376" i="4" s="1"/>
  <c r="K359" i="4"/>
  <c r="N359" i="4" s="1"/>
  <c r="K360" i="4"/>
  <c r="N360" i="4" s="1"/>
  <c r="K361" i="4"/>
  <c r="N361" i="4" s="1"/>
  <c r="K362" i="4"/>
  <c r="N362" i="4" s="1"/>
  <c r="K363" i="4"/>
  <c r="N363" i="4" s="1"/>
  <c r="K364" i="4"/>
  <c r="N364" i="4" s="1"/>
  <c r="K365" i="4"/>
  <c r="N365" i="4" s="1"/>
  <c r="K366" i="4"/>
  <c r="N366" i="4" s="1"/>
  <c r="K367" i="4"/>
  <c r="N367" i="4" s="1"/>
  <c r="K368" i="4"/>
  <c r="N368" i="4" s="1"/>
  <c r="K369" i="4"/>
  <c r="N369" i="4" s="1"/>
  <c r="K370" i="4"/>
  <c r="N370" i="4" s="1"/>
  <c r="K358" i="4"/>
  <c r="N358" i="4" s="1"/>
  <c r="AT50" i="10" l="1"/>
  <c r="AT45" i="10"/>
  <c r="AT40" i="10"/>
  <c r="AT35" i="10"/>
  <c r="AT30" i="10"/>
  <c r="AT25" i="10"/>
  <c r="AT20" i="10"/>
  <c r="AT15" i="10"/>
  <c r="AT10" i="10"/>
  <c r="BD60" i="3" l="1"/>
  <c r="C9" i="3"/>
  <c r="C8" i="3"/>
  <c r="BD61" i="3"/>
  <c r="J31" i="4"/>
  <c r="J30" i="4"/>
  <c r="R257" i="3"/>
  <c r="R256" i="3"/>
  <c r="R239" i="3"/>
  <c r="R273" i="3" s="1"/>
  <c r="R274" i="3"/>
  <c r="M357" i="4"/>
  <c r="BB52" i="3"/>
  <c r="M336" i="4"/>
  <c r="M31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140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C91" i="4"/>
  <c r="F91" i="4" s="1"/>
  <c r="C89" i="4"/>
  <c r="F89" i="4" s="1"/>
  <c r="C64" i="4"/>
  <c r="F64" i="4" s="1"/>
  <c r="C85" i="4"/>
  <c r="F85" i="4" s="1"/>
  <c r="C93" i="4"/>
  <c r="E93" i="4" s="1"/>
  <c r="C86" i="4"/>
  <c r="A86" i="4" s="1"/>
  <c r="C87" i="4"/>
  <c r="A87" i="4" s="1"/>
  <c r="C83" i="4"/>
  <c r="F83" i="4" s="1"/>
  <c r="C66" i="4"/>
  <c r="E66" i="4" s="1"/>
  <c r="C69" i="4"/>
  <c r="E69" i="4" s="1"/>
  <c r="C81" i="4"/>
  <c r="C74" i="4"/>
  <c r="E74" i="4" s="1"/>
  <c r="C72" i="4"/>
  <c r="F72" i="4" s="1"/>
  <c r="C82" i="4"/>
  <c r="F82" i="4" s="1"/>
  <c r="C65" i="4"/>
  <c r="E65" i="4" s="1"/>
  <c r="C67" i="4"/>
  <c r="E67" i="4" s="1"/>
  <c r="G32" i="2"/>
  <c r="G42" i="2"/>
  <c r="G40" i="2"/>
  <c r="G35" i="2"/>
  <c r="H53" i="2"/>
  <c r="G47" i="2"/>
  <c r="H47" i="2"/>
  <c r="G48" i="2"/>
  <c r="H48" i="2"/>
  <c r="H49" i="2"/>
  <c r="H55" i="2"/>
  <c r="G83" i="1"/>
  <c r="G68" i="1"/>
  <c r="C7" i="3"/>
  <c r="J23" i="6" s="1"/>
  <c r="C10" i="3"/>
  <c r="C11" i="3"/>
  <c r="C12" i="3"/>
  <c r="BJ57" i="3" s="1"/>
  <c r="C13" i="3"/>
  <c r="BJ58" i="3" s="1"/>
  <c r="C14" i="3"/>
  <c r="R14" i="7"/>
  <c r="R5" i="7"/>
  <c r="D25" i="3"/>
  <c r="AL34" i="2" s="1"/>
  <c r="BJ3" i="3"/>
  <c r="I26" i="4"/>
  <c r="I29" i="4"/>
  <c r="I27" i="4"/>
  <c r="I25" i="4"/>
  <c r="I33" i="4"/>
  <c r="I32" i="4"/>
  <c r="I30" i="4"/>
  <c r="I31" i="4"/>
  <c r="I28" i="4"/>
  <c r="C22" i="4"/>
  <c r="K21" i="4" s="1"/>
  <c r="BJ26" i="3"/>
  <c r="BJ27" i="3" s="1"/>
  <c r="B61" i="8"/>
  <c r="B63" i="8" s="1"/>
  <c r="B64" i="8" s="1"/>
  <c r="C64" i="8" s="1"/>
  <c r="B54" i="8" s="1"/>
  <c r="D54" i="8" s="1"/>
  <c r="B57" i="8"/>
  <c r="B55" i="8" s="1"/>
  <c r="D55" i="8" s="1"/>
  <c r="B9" i="8"/>
  <c r="D9" i="8" s="1"/>
  <c r="B10" i="8"/>
  <c r="D10" i="8" s="1"/>
  <c r="F93" i="4"/>
  <c r="B13" i="8"/>
  <c r="D13" i="8" s="1"/>
  <c r="B15" i="8"/>
  <c r="D15" i="8" s="1"/>
  <c r="B18" i="8"/>
  <c r="D18" i="8" s="1"/>
  <c r="B19" i="8"/>
  <c r="D19" i="8" s="1"/>
  <c r="B20" i="8"/>
  <c r="D20" i="8" s="1"/>
  <c r="B23" i="8"/>
  <c r="D23" i="8" s="1"/>
  <c r="B24" i="8"/>
  <c r="D24" i="8" s="1"/>
  <c r="B25" i="8"/>
  <c r="D25" i="8" s="1"/>
  <c r="B28" i="8"/>
  <c r="D28" i="8" s="1"/>
  <c r="B29" i="8"/>
  <c r="D29" i="8" s="1"/>
  <c r="B30" i="8"/>
  <c r="D30" i="8" s="1"/>
  <c r="B33" i="8"/>
  <c r="D33" i="8" s="1"/>
  <c r="B34" i="8"/>
  <c r="D34" i="8" s="1"/>
  <c r="B35" i="8"/>
  <c r="D35" i="8" s="1"/>
  <c r="B38" i="8"/>
  <c r="D38" i="8" s="1"/>
  <c r="B39" i="8"/>
  <c r="D39" i="8" s="1"/>
  <c r="B40" i="8"/>
  <c r="D40" i="8" s="1"/>
  <c r="B43" i="8"/>
  <c r="D43" i="8" s="1"/>
  <c r="B44" i="8"/>
  <c r="D44" i="8" s="1"/>
  <c r="B45" i="8"/>
  <c r="D45" i="8" s="1"/>
  <c r="B48" i="8"/>
  <c r="D48" i="8" s="1"/>
  <c r="B49" i="8"/>
  <c r="D49" i="8" s="1"/>
  <c r="B50" i="8"/>
  <c r="D50" i="8" s="1"/>
  <c r="Q5" i="7"/>
  <c r="AC107" i="2"/>
  <c r="Q94" i="2"/>
  <c r="AF108" i="2" s="1"/>
  <c r="AC109" i="2"/>
  <c r="Q95" i="2"/>
  <c r="AF109" i="2" s="1"/>
  <c r="AC108" i="2"/>
  <c r="AC110" i="2"/>
  <c r="BE60" i="3"/>
  <c r="BI4" i="3"/>
  <c r="BF61" i="3"/>
  <c r="BE61" i="3"/>
  <c r="R4" i="7"/>
  <c r="N7" i="2"/>
  <c r="N8" i="2"/>
  <c r="N9" i="2"/>
  <c r="N10" i="2"/>
  <c r="N11" i="2"/>
  <c r="N12" i="2"/>
  <c r="N13" i="2"/>
  <c r="N14" i="2"/>
  <c r="N15" i="2"/>
  <c r="N16" i="2"/>
  <c r="N17" i="2"/>
  <c r="N18" i="2"/>
  <c r="A93" i="4"/>
  <c r="G44" i="2"/>
  <c r="H44" i="2" s="1"/>
  <c r="M9" i="2"/>
  <c r="M10" i="2"/>
  <c r="C3" i="5"/>
  <c r="C4" i="5"/>
  <c r="AC104" i="2" s="1"/>
  <c r="C5" i="5"/>
  <c r="G17" i="8"/>
  <c r="G21" i="8"/>
  <c r="G22" i="8"/>
  <c r="G26" i="8"/>
  <c r="G27" i="8"/>
  <c r="G31" i="8"/>
  <c r="G32" i="8"/>
  <c r="G36" i="8"/>
  <c r="G37" i="8"/>
  <c r="G41" i="8"/>
  <c r="G42" i="8"/>
  <c r="G46" i="8"/>
  <c r="G47" i="8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754" i="4"/>
  <c r="M755" i="4"/>
  <c r="M756" i="4"/>
  <c r="M757" i="4"/>
  <c r="M758" i="4"/>
  <c r="M759" i="4"/>
  <c r="M760" i="4"/>
  <c r="M761" i="4"/>
  <c r="M762" i="4"/>
  <c r="M763" i="4"/>
  <c r="M764" i="4"/>
  <c r="M765" i="4"/>
  <c r="M766" i="4"/>
  <c r="M767" i="4"/>
  <c r="M768" i="4"/>
  <c r="M769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64" i="4"/>
  <c r="M56" i="4"/>
  <c r="F55" i="4"/>
  <c r="G55" i="4" s="1"/>
  <c r="C47" i="2"/>
  <c r="D47" i="2" s="1"/>
  <c r="B58" i="2"/>
  <c r="S285" i="3"/>
  <c r="S284" i="3" s="1"/>
  <c r="T17" i="2"/>
  <c r="T16" i="2" s="1"/>
  <c r="W17" i="2"/>
  <c r="W16" i="2" s="1"/>
  <c r="Q9" i="2"/>
  <c r="Q10" i="2"/>
  <c r="Q11" i="2"/>
  <c r="Q12" i="2"/>
  <c r="Q13" i="2"/>
  <c r="AF34" i="2"/>
  <c r="F53" i="4"/>
  <c r="A68" i="4"/>
  <c r="A71" i="4"/>
  <c r="A73" i="4"/>
  <c r="A75" i="4"/>
  <c r="A79" i="4"/>
  <c r="A84" i="4"/>
  <c r="A88" i="4"/>
  <c r="A90" i="4"/>
  <c r="A92" i="4"/>
  <c r="F54" i="4"/>
  <c r="E68" i="4"/>
  <c r="E71" i="4"/>
  <c r="E73" i="4"/>
  <c r="E75" i="4"/>
  <c r="E79" i="4"/>
  <c r="E84" i="4"/>
  <c r="E88" i="4"/>
  <c r="E90" i="4"/>
  <c r="E92" i="4"/>
  <c r="BJ25" i="3"/>
  <c r="D5" i="7"/>
  <c r="D6" i="7"/>
  <c r="D7" i="7"/>
  <c r="D8" i="7"/>
  <c r="D9" i="7"/>
  <c r="D10" i="7"/>
  <c r="D11" i="7"/>
  <c r="D12" i="7"/>
  <c r="B20" i="7"/>
  <c r="E20" i="7"/>
  <c r="R19" i="7"/>
  <c r="B21" i="7"/>
  <c r="H21" i="7"/>
  <c r="I21" i="7" s="1"/>
  <c r="R20" i="7"/>
  <c r="R65" i="7"/>
  <c r="D29" i="7"/>
  <c r="R68" i="7" s="1"/>
  <c r="D22" i="7"/>
  <c r="R21" i="7" s="1"/>
  <c r="B22" i="7"/>
  <c r="E22" i="7"/>
  <c r="H22" i="7"/>
  <c r="I22" i="7" s="1"/>
  <c r="D23" i="7"/>
  <c r="B23" i="7"/>
  <c r="D24" i="7"/>
  <c r="B24" i="7"/>
  <c r="E24" i="7"/>
  <c r="H24" i="7"/>
  <c r="I24" i="7" s="1"/>
  <c r="D25" i="7"/>
  <c r="R24" i="7" s="1"/>
  <c r="B25" i="7"/>
  <c r="E25" i="7"/>
  <c r="H25" i="7"/>
  <c r="I25" i="7" s="1"/>
  <c r="D26" i="7"/>
  <c r="R34" i="7" s="1"/>
  <c r="B27" i="7"/>
  <c r="E27" i="7"/>
  <c r="H27" i="7"/>
  <c r="I27" i="7" s="1"/>
  <c r="D27" i="7"/>
  <c r="D28" i="7"/>
  <c r="R36" i="7" s="1"/>
  <c r="B28" i="7"/>
  <c r="E28" i="7"/>
  <c r="H28" i="7"/>
  <c r="I28" i="7" s="1"/>
  <c r="S28" i="7"/>
  <c r="U28" i="7" s="1"/>
  <c r="S29" i="7"/>
  <c r="U29" i="7" s="1"/>
  <c r="S37" i="7"/>
  <c r="U37" i="7" s="1"/>
  <c r="S44" i="7"/>
  <c r="U44" i="7" s="1"/>
  <c r="S50" i="7"/>
  <c r="U50" i="7" s="1"/>
  <c r="S55" i="7"/>
  <c r="U55" i="7" s="1"/>
  <c r="S59" i="7"/>
  <c r="U59" i="7" s="1"/>
  <c r="S62" i="7"/>
  <c r="U62" i="7" s="1"/>
  <c r="A66" i="2"/>
  <c r="H85" i="2"/>
  <c r="H84" i="2"/>
  <c r="C44" i="2"/>
  <c r="D44" i="2" s="1"/>
  <c r="C51" i="2"/>
  <c r="D51" i="2" s="1"/>
  <c r="C48" i="2"/>
  <c r="D48" i="2" s="1"/>
  <c r="C53" i="2"/>
  <c r="D53" i="2" s="1"/>
  <c r="BM26" i="3"/>
  <c r="BM27" i="3" s="1"/>
  <c r="BM24" i="3"/>
  <c r="BM25" i="3" s="1"/>
  <c r="C38" i="2"/>
  <c r="D38" i="2" s="1"/>
  <c r="C33" i="2"/>
  <c r="D33" i="2" s="1"/>
  <c r="C37" i="2"/>
  <c r="D37" i="2" s="1"/>
  <c r="C42" i="2"/>
  <c r="D42" i="2" s="1"/>
  <c r="C40" i="2"/>
  <c r="D40" i="2" s="1"/>
  <c r="C32" i="2"/>
  <c r="D32" i="2" s="1"/>
  <c r="AF49" i="2"/>
  <c r="AF48" i="2" s="1"/>
  <c r="AL48" i="2"/>
  <c r="AK48" i="2" s="1"/>
  <c r="E26" i="7"/>
  <c r="B26" i="7"/>
  <c r="H26" i="7"/>
  <c r="I26" i="7" s="1"/>
  <c r="H23" i="7"/>
  <c r="I23" i="7" s="1"/>
  <c r="E23" i="7"/>
  <c r="C55" i="2"/>
  <c r="D55" i="2"/>
  <c r="C45" i="2"/>
  <c r="D45" i="2" s="1"/>
  <c r="BG30" i="3"/>
  <c r="E29" i="7"/>
  <c r="Q4" i="7"/>
  <c r="A5" i="7"/>
  <c r="A6" i="7"/>
  <c r="A7" i="7"/>
  <c r="A8" i="7"/>
  <c r="A9" i="7"/>
  <c r="A10" i="7"/>
  <c r="A11" i="7"/>
  <c r="A12" i="7"/>
  <c r="A52" i="4"/>
  <c r="A53" i="4"/>
  <c r="A54" i="4"/>
  <c r="A55" i="4"/>
  <c r="A56" i="4"/>
  <c r="A57" i="4"/>
  <c r="A58" i="4"/>
  <c r="A59" i="4"/>
  <c r="L30" i="4"/>
  <c r="K30" i="4"/>
  <c r="G261" i="5"/>
  <c r="K208" i="5" s="1"/>
  <c r="F23" i="1"/>
  <c r="G23" i="1" s="1"/>
  <c r="F67" i="1"/>
  <c r="G67" i="1" s="1"/>
  <c r="G80" i="1"/>
  <c r="G86" i="1"/>
  <c r="F24" i="1"/>
  <c r="G24" i="1" s="1"/>
  <c r="F25" i="1"/>
  <c r="G25" i="1" s="1"/>
  <c r="F26" i="1"/>
  <c r="F34" i="1"/>
  <c r="G34" i="1" s="1"/>
  <c r="F35" i="1"/>
  <c r="G35" i="1" s="1"/>
  <c r="F59" i="1"/>
  <c r="G59" i="1" s="1"/>
  <c r="F60" i="1"/>
  <c r="G60" i="1" s="1"/>
  <c r="F61" i="1"/>
  <c r="G61" i="1" s="1"/>
  <c r="F65" i="1"/>
  <c r="G65" i="1" s="1"/>
  <c r="F66" i="1"/>
  <c r="G66" i="1" s="1"/>
  <c r="M18" i="2"/>
  <c r="M17" i="2"/>
  <c r="M16" i="2"/>
  <c r="M15" i="2"/>
  <c r="M12" i="2"/>
  <c r="M11" i="2"/>
  <c r="M8" i="2"/>
  <c r="M7" i="2"/>
  <c r="W50" i="2"/>
  <c r="L133" i="5" s="1"/>
  <c r="D69" i="1"/>
  <c r="E69" i="1"/>
  <c r="E82" i="1"/>
  <c r="K31" i="4"/>
  <c r="L31" i="4"/>
  <c r="L6" i="4"/>
  <c r="M6" i="4" s="1"/>
  <c r="L7" i="4"/>
  <c r="M7" i="4" s="1"/>
  <c r="L5" i="4"/>
  <c r="M5" i="4" s="1"/>
  <c r="B25" i="4"/>
  <c r="B26" i="4"/>
  <c r="B27" i="4"/>
  <c r="B28" i="4"/>
  <c r="B29" i="4"/>
  <c r="B30" i="4"/>
  <c r="B31" i="4"/>
  <c r="B32" i="4"/>
  <c r="C49" i="2"/>
  <c r="D49" i="2" s="1"/>
  <c r="AC49" i="2"/>
  <c r="W586" i="3"/>
  <c r="W587" i="3"/>
  <c r="W572" i="3" s="1"/>
  <c r="W588" i="3"/>
  <c r="W589" i="3"/>
  <c r="W571" i="3" s="1"/>
  <c r="W590" i="3"/>
  <c r="W591" i="3"/>
  <c r="W573" i="3" s="1"/>
  <c r="W592" i="3"/>
  <c r="W585" i="3"/>
  <c r="W570" i="3" s="1"/>
  <c r="U587" i="3"/>
  <c r="U585" i="3"/>
  <c r="U511" i="3"/>
  <c r="U512" i="3" s="1"/>
  <c r="U497" i="3" s="1"/>
  <c r="R493" i="3" s="1"/>
  <c r="U509" i="3"/>
  <c r="U510" i="3" s="1"/>
  <c r="U496" i="3" s="1"/>
  <c r="R490" i="3" s="1"/>
  <c r="U435" i="3"/>
  <c r="U436" i="3" s="1"/>
  <c r="U433" i="3"/>
  <c r="U363" i="3"/>
  <c r="R363" i="3" s="1"/>
  <c r="U361" i="3"/>
  <c r="R361" i="3" s="1"/>
  <c r="H76" i="2"/>
  <c r="H80" i="2"/>
  <c r="H82" i="2"/>
  <c r="W130" i="2"/>
  <c r="M35" i="2"/>
  <c r="M36" i="2"/>
  <c r="M39" i="2"/>
  <c r="M40" i="2"/>
  <c r="M41" i="2"/>
  <c r="M46" i="2"/>
  <c r="M49" i="2"/>
  <c r="M50" i="2"/>
  <c r="M52" i="2"/>
  <c r="F68" i="1"/>
  <c r="F55" i="2"/>
  <c r="G55" i="2" s="1"/>
  <c r="A63" i="2"/>
  <c r="BF60" i="3"/>
  <c r="BC4" i="3"/>
  <c r="BD4" i="3" s="1"/>
  <c r="BC5" i="3"/>
  <c r="BD5" i="3" s="1"/>
  <c r="BC6" i="3"/>
  <c r="BD6" i="3" s="1"/>
  <c r="BC7" i="3"/>
  <c r="BD7" i="3" s="1"/>
  <c r="BC8" i="3"/>
  <c r="BD8" i="3" s="1"/>
  <c r="BC9" i="3"/>
  <c r="BD9" i="3" s="1"/>
  <c r="BC10" i="3"/>
  <c r="BD10" i="3" s="1"/>
  <c r="BC11" i="3"/>
  <c r="BD11" i="3" s="1"/>
  <c r="BC12" i="3"/>
  <c r="BD12" i="3" s="1"/>
  <c r="BC13" i="3"/>
  <c r="BD13" i="3" s="1"/>
  <c r="BC14" i="3"/>
  <c r="BD14" i="3" s="1"/>
  <c r="BC16" i="3"/>
  <c r="BD16" i="3" s="1"/>
  <c r="BC17" i="3"/>
  <c r="BD17" i="3" s="1"/>
  <c r="BC18" i="3"/>
  <c r="BD18" i="3" s="1"/>
  <c r="BC19" i="3"/>
  <c r="BD19" i="3" s="1"/>
  <c r="BC20" i="3"/>
  <c r="BD20" i="3" s="1"/>
  <c r="BC21" i="3"/>
  <c r="BD21" i="3" s="1"/>
  <c r="BC22" i="3"/>
  <c r="BD22" i="3" s="1"/>
  <c r="BC23" i="3"/>
  <c r="BD23" i="3" s="1"/>
  <c r="BC24" i="3"/>
  <c r="BD24" i="3" s="1"/>
  <c r="BC25" i="3"/>
  <c r="BD25" i="3" s="1"/>
  <c r="BC26" i="3"/>
  <c r="BD26" i="3" s="1"/>
  <c r="BC27" i="3"/>
  <c r="BC3" i="3"/>
  <c r="O607" i="3"/>
  <c r="O606" i="3"/>
  <c r="O605" i="3"/>
  <c r="O604" i="3"/>
  <c r="O603" i="3"/>
  <c r="O602" i="3"/>
  <c r="O601" i="3"/>
  <c r="O600" i="3"/>
  <c r="O599" i="3"/>
  <c r="O598" i="3"/>
  <c r="O597" i="3"/>
  <c r="O596" i="3"/>
  <c r="O595" i="3"/>
  <c r="O594" i="3"/>
  <c r="O593" i="3"/>
  <c r="O592" i="3"/>
  <c r="O591" i="3"/>
  <c r="O590" i="3"/>
  <c r="O589" i="3"/>
  <c r="O588" i="3"/>
  <c r="O587" i="3"/>
  <c r="O586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7" i="3"/>
  <c r="O556" i="3"/>
  <c r="O555" i="3"/>
  <c r="O554" i="3"/>
  <c r="O553" i="3"/>
  <c r="O552" i="3"/>
  <c r="O551" i="3"/>
  <c r="O550" i="3"/>
  <c r="O549" i="3"/>
  <c r="O548" i="3"/>
  <c r="O547" i="3"/>
  <c r="O546" i="3"/>
  <c r="S545" i="3"/>
  <c r="O545" i="3"/>
  <c r="S544" i="3"/>
  <c r="O544" i="3"/>
  <c r="S543" i="3"/>
  <c r="O543" i="3"/>
  <c r="S542" i="3"/>
  <c r="O542" i="3"/>
  <c r="S541" i="3"/>
  <c r="O541" i="3"/>
  <c r="S540" i="3"/>
  <c r="O540" i="3"/>
  <c r="S539" i="3"/>
  <c r="O539" i="3"/>
  <c r="S538" i="3"/>
  <c r="O538" i="3"/>
  <c r="S537" i="3"/>
  <c r="O537" i="3"/>
  <c r="O536" i="3"/>
  <c r="O535" i="3"/>
  <c r="O534" i="3"/>
  <c r="O533" i="3"/>
  <c r="O532" i="3"/>
  <c r="O440" i="3"/>
  <c r="O439" i="3"/>
  <c r="O438" i="3"/>
  <c r="O437" i="3"/>
  <c r="W512" i="3"/>
  <c r="W497" i="3" s="1"/>
  <c r="W511" i="3"/>
  <c r="O515" i="3"/>
  <c r="O516" i="3"/>
  <c r="O513" i="3"/>
  <c r="O514" i="3"/>
  <c r="R438" i="3"/>
  <c r="S454" i="3"/>
  <c r="S453" i="3"/>
  <c r="S452" i="3"/>
  <c r="S451" i="3"/>
  <c r="S450" i="3"/>
  <c r="S449" i="3"/>
  <c r="S448" i="3"/>
  <c r="S447" i="3"/>
  <c r="S446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5" i="3"/>
  <c r="S429" i="3"/>
  <c r="R359" i="3"/>
  <c r="R358" i="3"/>
  <c r="S357" i="3"/>
  <c r="R287" i="3"/>
  <c r="R286" i="3"/>
  <c r="R235" i="3"/>
  <c r="R270" i="3" s="1"/>
  <c r="R210" i="3"/>
  <c r="R176" i="3"/>
  <c r="R174" i="3" s="1"/>
  <c r="R161" i="3"/>
  <c r="R159" i="3" s="1"/>
  <c r="R138" i="3"/>
  <c r="R89" i="3"/>
  <c r="R123" i="3" s="1"/>
  <c r="S59" i="3"/>
  <c r="S60" i="3"/>
  <c r="S61" i="3"/>
  <c r="S62" i="3"/>
  <c r="S63" i="3"/>
  <c r="S64" i="3"/>
  <c r="S65" i="3"/>
  <c r="S66" i="3"/>
  <c r="S67" i="3"/>
  <c r="S68" i="3"/>
  <c r="S69" i="3"/>
  <c r="S43" i="3"/>
  <c r="S44" i="3"/>
  <c r="S45" i="3"/>
  <c r="S46" i="3"/>
  <c r="R156" i="3"/>
  <c r="R218" i="3"/>
  <c r="R217" i="3"/>
  <c r="R219" i="3"/>
  <c r="R220" i="3"/>
  <c r="R196" i="3"/>
  <c r="R195" i="3" s="1"/>
  <c r="R167" i="3"/>
  <c r="R204" i="3" s="1"/>
  <c r="R201" i="3"/>
  <c r="R198" i="3"/>
  <c r="R197" i="3"/>
  <c r="R189" i="3"/>
  <c r="R132" i="3"/>
  <c r="R134" i="3" s="1"/>
  <c r="R125" i="3"/>
  <c r="R116" i="3"/>
  <c r="R147" i="3"/>
  <c r="R148" i="3"/>
  <c r="R96" i="3"/>
  <c r="R97" i="3"/>
  <c r="R92" i="3"/>
  <c r="R126" i="3" s="1"/>
  <c r="R145" i="3"/>
  <c r="R113" i="3"/>
  <c r="R114" i="3"/>
  <c r="R115" i="3"/>
  <c r="R98" i="3"/>
  <c r="R99" i="3" s="1"/>
  <c r="R79" i="3"/>
  <c r="R80" i="3"/>
  <c r="R81" i="3"/>
  <c r="R82" i="3"/>
  <c r="R83" i="3"/>
  <c r="R117" i="3" s="1"/>
  <c r="R102" i="3"/>
  <c r="R146" i="3"/>
  <c r="R124" i="3"/>
  <c r="I85" i="2"/>
  <c r="A102" i="2"/>
  <c r="G63" i="2"/>
  <c r="G64" i="2"/>
  <c r="G65" i="2"/>
  <c r="G66" i="2"/>
  <c r="G67" i="2"/>
  <c r="G68" i="2"/>
  <c r="G69" i="2"/>
  <c r="G70" i="2"/>
  <c r="G71" i="2"/>
  <c r="G72" i="2"/>
  <c r="G62" i="2"/>
  <c r="B28" i="2"/>
  <c r="C34" i="2"/>
  <c r="D34" i="2" s="1"/>
  <c r="C35" i="2"/>
  <c r="H83" i="2"/>
  <c r="G45" i="2"/>
  <c r="H45" i="2" s="1"/>
  <c r="G49" i="2"/>
  <c r="BD27" i="3"/>
  <c r="F28" i="1"/>
  <c r="F29" i="1"/>
  <c r="F30" i="1"/>
  <c r="F31" i="1"/>
  <c r="F32" i="1"/>
  <c r="F37" i="1"/>
  <c r="F38" i="1"/>
  <c r="F39" i="1"/>
  <c r="F41" i="1"/>
  <c r="F42" i="1"/>
  <c r="F43" i="1"/>
  <c r="F44" i="1"/>
  <c r="F45" i="1"/>
  <c r="F46" i="1"/>
  <c r="F48" i="1"/>
  <c r="F49" i="1"/>
  <c r="F50" i="1"/>
  <c r="F51" i="1"/>
  <c r="F52" i="1"/>
  <c r="F54" i="1"/>
  <c r="F55" i="1"/>
  <c r="F56" i="1"/>
  <c r="F57" i="1"/>
  <c r="M45" i="2"/>
  <c r="M53" i="2"/>
  <c r="M48" i="2"/>
  <c r="Z34" i="2"/>
  <c r="T19" i="2"/>
  <c r="E72" i="4"/>
  <c r="M38" i="2"/>
  <c r="M47" i="2"/>
  <c r="M42" i="2"/>
  <c r="A91" i="4"/>
  <c r="H78" i="2"/>
  <c r="H77" i="2"/>
  <c r="H79" i="2"/>
  <c r="N19" i="2" l="1"/>
  <c r="M19" i="2" s="1"/>
  <c r="G87" i="1" s="1"/>
  <c r="A67" i="2" s="1"/>
  <c r="A68" i="2" s="1"/>
  <c r="B68" i="2" s="1"/>
  <c r="F342" i="5"/>
  <c r="E341" i="5"/>
  <c r="E342" i="5"/>
  <c r="F341" i="5"/>
  <c r="F340" i="5"/>
  <c r="E340" i="5"/>
  <c r="E115" i="6" s="1"/>
  <c r="AI34" i="2"/>
  <c r="BE27" i="3"/>
  <c r="O206" i="5"/>
  <c r="K201" i="5"/>
  <c r="E200" i="5" s="1"/>
  <c r="D186" i="1" s="1"/>
  <c r="R136" i="3"/>
  <c r="R103" i="3"/>
  <c r="S355" i="3"/>
  <c r="R88" i="3"/>
  <c r="S353" i="3"/>
  <c r="F74" i="4"/>
  <c r="R100" i="3"/>
  <c r="A74" i="4"/>
  <c r="R101" i="3"/>
  <c r="R160" i="3"/>
  <c r="S424" i="3"/>
  <c r="A85" i="4"/>
  <c r="I65" i="4"/>
  <c r="I69" i="4"/>
  <c r="I64" i="4"/>
  <c r="I67" i="4"/>
  <c r="I66" i="4"/>
  <c r="F87" i="4"/>
  <c r="Q100" i="2"/>
  <c r="T100" i="2" s="1"/>
  <c r="AI22" i="10"/>
  <c r="AI14" i="10"/>
  <c r="AI20" i="10"/>
  <c r="AI12" i="10"/>
  <c r="AI18" i="10"/>
  <c r="AI16" i="10"/>
  <c r="AI24" i="10"/>
  <c r="AI25" i="10" s="1"/>
  <c r="AI10" i="10"/>
  <c r="AI8" i="10"/>
  <c r="AI48" i="2"/>
  <c r="AH48" i="2" s="1"/>
  <c r="R523" i="3"/>
  <c r="R522" i="3"/>
  <c r="R524" i="3"/>
  <c r="A67" i="4"/>
  <c r="A64" i="4"/>
  <c r="U586" i="3"/>
  <c r="R601" i="3" s="1"/>
  <c r="R617" i="3" s="1"/>
  <c r="U571" i="3"/>
  <c r="R581" i="3" s="1"/>
  <c r="U588" i="3"/>
  <c r="R603" i="3" s="1"/>
  <c r="R616" i="3" s="1"/>
  <c r="U572" i="3"/>
  <c r="A83" i="4"/>
  <c r="E83" i="4"/>
  <c r="AJ7" i="3"/>
  <c r="AJ9" i="3"/>
  <c r="AJ5" i="3"/>
  <c r="AJ31" i="3"/>
  <c r="AJ23" i="3"/>
  <c r="AJ15" i="3"/>
  <c r="AJ29" i="3"/>
  <c r="AJ13" i="3"/>
  <c r="AJ35" i="3"/>
  <c r="AJ19" i="3"/>
  <c r="AJ33" i="3"/>
  <c r="AJ25" i="3"/>
  <c r="AJ17" i="3"/>
  <c r="AJ37" i="3"/>
  <c r="AJ21" i="3"/>
  <c r="AJ27" i="3"/>
  <c r="AJ11" i="3"/>
  <c r="B8" i="10"/>
  <c r="G8" i="10" s="1"/>
  <c r="E33" i="2"/>
  <c r="G33" i="2" s="1"/>
  <c r="E34" i="2"/>
  <c r="G34" i="2" s="1"/>
  <c r="F65" i="4"/>
  <c r="F67" i="4"/>
  <c r="E91" i="4"/>
  <c r="E89" i="4"/>
  <c r="A89" i="4"/>
  <c r="E82" i="4"/>
  <c r="A66" i="4"/>
  <c r="F66" i="4"/>
  <c r="E64" i="4"/>
  <c r="A65" i="4"/>
  <c r="E7" i="3"/>
  <c r="D7" i="3"/>
  <c r="R207" i="3"/>
  <c r="R205" i="3"/>
  <c r="R208" i="3"/>
  <c r="B43" i="2"/>
  <c r="E110" i="1" s="1"/>
  <c r="R86" i="3"/>
  <c r="R84" i="3"/>
  <c r="R203" i="3"/>
  <c r="R157" i="3"/>
  <c r="R172" i="3"/>
  <c r="R158" i="3"/>
  <c r="S277" i="3"/>
  <c r="R87" i="3"/>
  <c r="R202" i="3"/>
  <c r="R269" i="3"/>
  <c r="R135" i="3"/>
  <c r="R85" i="3"/>
  <c r="S422" i="3"/>
  <c r="Q34" i="2"/>
  <c r="T34" i="2"/>
  <c r="W34" i="2"/>
  <c r="AC34" i="2"/>
  <c r="BD78" i="3"/>
  <c r="BG76" i="3" s="1"/>
  <c r="K202" i="5"/>
  <c r="F338" i="5"/>
  <c r="F337" i="5"/>
  <c r="E338" i="5"/>
  <c r="E336" i="5"/>
  <c r="E337" i="5"/>
  <c r="AC103" i="2"/>
  <c r="E332" i="5"/>
  <c r="Z8" i="3"/>
  <c r="R26" i="7"/>
  <c r="R35" i="7"/>
  <c r="R23" i="7"/>
  <c r="R52" i="7"/>
  <c r="R22" i="7"/>
  <c r="R47" i="7"/>
  <c r="R48" i="7"/>
  <c r="R46" i="7"/>
  <c r="R45" i="7"/>
  <c r="R49" i="7"/>
  <c r="R60" i="7"/>
  <c r="E120" i="5"/>
  <c r="Q45" i="2" s="1"/>
  <c r="F206" i="5"/>
  <c r="F107" i="5"/>
  <c r="E151" i="5"/>
  <c r="F36" i="5"/>
  <c r="E224" i="5"/>
  <c r="G98" i="1" s="1"/>
  <c r="E227" i="1" s="1"/>
  <c r="D111" i="6" s="1"/>
  <c r="E176" i="5"/>
  <c r="E164" i="5"/>
  <c r="F99" i="5"/>
  <c r="E180" i="5"/>
  <c r="E209" i="5"/>
  <c r="E86" i="5"/>
  <c r="F104" i="1" s="1"/>
  <c r="F55" i="5"/>
  <c r="E101" i="5"/>
  <c r="E40" i="5"/>
  <c r="D55" i="1" s="1"/>
  <c r="F96" i="5"/>
  <c r="F117" i="5"/>
  <c r="F68" i="5"/>
  <c r="E232" i="5"/>
  <c r="F174" i="5"/>
  <c r="E44" i="5"/>
  <c r="D60" i="1" s="1"/>
  <c r="AN52" i="2"/>
  <c r="F18" i="5"/>
  <c r="E185" i="5"/>
  <c r="F247" i="5"/>
  <c r="F167" i="5"/>
  <c r="F112" i="5"/>
  <c r="F116" i="5"/>
  <c r="F84" i="5"/>
  <c r="E11" i="5"/>
  <c r="D22" i="1" s="1"/>
  <c r="F197" i="5"/>
  <c r="F71" i="5"/>
  <c r="E141" i="5"/>
  <c r="F30" i="5"/>
  <c r="F191" i="5"/>
  <c r="F66" i="5"/>
  <c r="F134" i="5"/>
  <c r="E38" i="5"/>
  <c r="D52" i="1" s="1"/>
  <c r="E90" i="5"/>
  <c r="F112" i="1" s="1"/>
  <c r="AC105" i="2"/>
  <c r="Z110" i="2" s="1"/>
  <c r="E129" i="5"/>
  <c r="E177" i="5"/>
  <c r="E214" i="5"/>
  <c r="F244" i="5"/>
  <c r="F229" i="5"/>
  <c r="F34" i="5"/>
  <c r="F146" i="5"/>
  <c r="E42" i="5"/>
  <c r="D57" i="1" s="1"/>
  <c r="F123" i="5"/>
  <c r="E187" i="5"/>
  <c r="F92" i="5"/>
  <c r="F193" i="5"/>
  <c r="E48" i="5"/>
  <c r="D67" i="1" s="1"/>
  <c r="E132" i="5"/>
  <c r="E93" i="5"/>
  <c r="F115" i="1" s="1"/>
  <c r="F196" i="5"/>
  <c r="F4" i="5"/>
  <c r="E39" i="5"/>
  <c r="D54" i="1" s="1"/>
  <c r="F131" i="5"/>
  <c r="F45" i="5"/>
  <c r="E134" i="5"/>
  <c r="E24" i="5"/>
  <c r="D35" i="1" s="1"/>
  <c r="F137" i="5"/>
  <c r="F52" i="5"/>
  <c r="E157" i="5"/>
  <c r="E76" i="5"/>
  <c r="F200" i="5"/>
  <c r="F93" i="5"/>
  <c r="E210" i="5"/>
  <c r="F240" i="5"/>
  <c r="F58" i="5"/>
  <c r="E58" i="5"/>
  <c r="D76" i="1" s="1"/>
  <c r="F219" i="5"/>
  <c r="F60" i="5"/>
  <c r="E21" i="5"/>
  <c r="D31" i="1" s="1"/>
  <c r="E154" i="5"/>
  <c r="F57" i="5"/>
  <c r="F163" i="5"/>
  <c r="E35" i="5"/>
  <c r="D49" i="1" s="1"/>
  <c r="E165" i="5"/>
  <c r="E122" i="5"/>
  <c r="F234" i="5"/>
  <c r="F126" i="5"/>
  <c r="F11" i="5"/>
  <c r="E84" i="5"/>
  <c r="D117" i="1" s="1"/>
  <c r="F124" i="5"/>
  <c r="E75" i="5"/>
  <c r="E61" i="5"/>
  <c r="D80" i="1" s="1"/>
  <c r="E202" i="5"/>
  <c r="D188" i="1" s="1"/>
  <c r="E227" i="5"/>
  <c r="E123" i="5"/>
  <c r="Q48" i="2" s="1"/>
  <c r="P48" i="2" s="1"/>
  <c r="E173" i="5"/>
  <c r="E217" i="5"/>
  <c r="E246" i="5"/>
  <c r="D95" i="1" s="1"/>
  <c r="E241" i="5"/>
  <c r="D90" i="1" s="1"/>
  <c r="F227" i="5"/>
  <c r="E103" i="5"/>
  <c r="C159" i="1" s="1"/>
  <c r="F38" i="5"/>
  <c r="F102" i="5"/>
  <c r="F170" i="5"/>
  <c r="E18" i="5"/>
  <c r="D28" i="1" s="1"/>
  <c r="E82" i="5"/>
  <c r="D115" i="1" s="1"/>
  <c r="F69" i="5"/>
  <c r="F155" i="5"/>
  <c r="E25" i="5"/>
  <c r="D37" i="1" s="1"/>
  <c r="E111" i="5"/>
  <c r="F12" i="5"/>
  <c r="F97" i="5"/>
  <c r="F211" i="5"/>
  <c r="E119" i="5"/>
  <c r="E69" i="5"/>
  <c r="D100" i="1" s="1"/>
  <c r="D229" i="1" s="1"/>
  <c r="E113" i="6" s="1"/>
  <c r="F239" i="5"/>
  <c r="F245" i="5"/>
  <c r="E225" i="5"/>
  <c r="E111" i="1" s="1"/>
  <c r="F26" i="5"/>
  <c r="F110" i="5"/>
  <c r="F198" i="5"/>
  <c r="E66" i="5"/>
  <c r="D83" i="1" s="1"/>
  <c r="F53" i="5"/>
  <c r="F165" i="5"/>
  <c r="E57" i="5"/>
  <c r="D75" i="1" s="1"/>
  <c r="E203" i="5"/>
  <c r="F108" i="5"/>
  <c r="F215" i="5"/>
  <c r="E85" i="5"/>
  <c r="D118" i="1" s="1"/>
  <c r="E188" i="5"/>
  <c r="F185" i="5"/>
  <c r="E213" i="5"/>
  <c r="E7" i="5"/>
  <c r="D14" i="1" s="1"/>
  <c r="F35" i="5"/>
  <c r="E56" i="5"/>
  <c r="D74" i="1" s="1"/>
  <c r="F105" i="5"/>
  <c r="E149" i="5"/>
  <c r="F189" i="5"/>
  <c r="F19" i="5"/>
  <c r="E131" i="5"/>
  <c r="E191" i="5"/>
  <c r="E249" i="5"/>
  <c r="D182" i="1" s="1"/>
  <c r="E251" i="5"/>
  <c r="E236" i="5"/>
  <c r="BQ7" i="3" s="1"/>
  <c r="F10" i="5"/>
  <c r="F94" i="5"/>
  <c r="F182" i="5"/>
  <c r="E74" i="5"/>
  <c r="D107" i="1" s="1"/>
  <c r="F85" i="5"/>
  <c r="F208" i="5"/>
  <c r="E100" i="5"/>
  <c r="F72" i="5"/>
  <c r="E87" i="5"/>
  <c r="F105" i="1" s="1"/>
  <c r="F95" i="5"/>
  <c r="E118" i="5"/>
  <c r="F152" i="5"/>
  <c r="E208" i="5"/>
  <c r="E19" i="5"/>
  <c r="D29" i="1" s="1"/>
  <c r="E148" i="5"/>
  <c r="E27" i="5"/>
  <c r="D39" i="1" s="1"/>
  <c r="F113" i="5"/>
  <c r="E159" i="5"/>
  <c r="F149" i="5"/>
  <c r="E22" i="5"/>
  <c r="D32" i="1" s="1"/>
  <c r="F62" i="5"/>
  <c r="E231" i="5"/>
  <c r="AB16" i="3" s="1"/>
  <c r="E70" i="5"/>
  <c r="D101" i="1" s="1"/>
  <c r="E150" i="5"/>
  <c r="E193" i="5"/>
  <c r="E68" i="5"/>
  <c r="D99" i="1" s="1"/>
  <c r="D228" i="1" s="1"/>
  <c r="E112" i="6" s="1"/>
  <c r="E239" i="5"/>
  <c r="D89" i="1" s="1"/>
  <c r="E233" i="5"/>
  <c r="F42" i="5"/>
  <c r="F166" i="5"/>
  <c r="F16" i="5"/>
  <c r="F181" i="5"/>
  <c r="E115" i="5"/>
  <c r="F28" i="5"/>
  <c r="F129" i="5"/>
  <c r="E5" i="5"/>
  <c r="D8" i="1" s="1"/>
  <c r="E80" i="5"/>
  <c r="D113" i="1" s="1"/>
  <c r="E168" i="5"/>
  <c r="F100" i="5"/>
  <c r="E169" i="5"/>
  <c r="E17" i="5"/>
  <c r="D26" i="1" s="1"/>
  <c r="F109" i="5"/>
  <c r="F13" i="5"/>
  <c r="E99" i="5"/>
  <c r="E84" i="1" s="1"/>
  <c r="E3" i="5"/>
  <c r="C3" i="1" s="1"/>
  <c r="C64" i="1" s="1"/>
  <c r="C178" i="1" s="1"/>
  <c r="C120" i="1" s="1"/>
  <c r="F127" i="5"/>
  <c r="F9" i="5"/>
  <c r="E125" i="5"/>
  <c r="E55" i="5"/>
  <c r="D73" i="1" s="1"/>
  <c r="F168" i="5"/>
  <c r="F51" i="5"/>
  <c r="E171" i="5"/>
  <c r="E229" i="5"/>
  <c r="AB20" i="3" s="1"/>
  <c r="F122" i="5"/>
  <c r="E102" i="5"/>
  <c r="C122" i="1" s="1"/>
  <c r="E79" i="5"/>
  <c r="D112" i="1" s="1"/>
  <c r="F103" i="5"/>
  <c r="E64" i="5"/>
  <c r="E72" i="5"/>
  <c r="D104" i="1" s="1"/>
  <c r="E218" i="5"/>
  <c r="F67" i="5"/>
  <c r="F180" i="5"/>
  <c r="E12" i="5"/>
  <c r="E22" i="1" s="1"/>
  <c r="E146" i="5"/>
  <c r="F226" i="5"/>
  <c r="F190" i="5"/>
  <c r="F75" i="5"/>
  <c r="E179" i="5"/>
  <c r="AI44" i="5" s="1"/>
  <c r="F172" i="5"/>
  <c r="E112" i="5"/>
  <c r="F217" i="5"/>
  <c r="E81" i="5"/>
  <c r="D114" i="1" s="1"/>
  <c r="E228" i="5"/>
  <c r="E140" i="5"/>
  <c r="E181" i="5"/>
  <c r="E156" i="5"/>
  <c r="E242" i="5"/>
  <c r="D91" i="1" s="1"/>
  <c r="F249" i="5"/>
  <c r="E238" i="5"/>
  <c r="AB23" i="3" s="1"/>
  <c r="E222" i="5"/>
  <c r="A82" i="1" s="1"/>
  <c r="F54" i="5"/>
  <c r="F118" i="5"/>
  <c r="F186" i="5"/>
  <c r="E34" i="5"/>
  <c r="D48" i="1" s="1"/>
  <c r="F5" i="5"/>
  <c r="F91" i="5"/>
  <c r="F176" i="5"/>
  <c r="E47" i="5"/>
  <c r="D66" i="1" s="1"/>
  <c r="E147" i="5"/>
  <c r="F33" i="5"/>
  <c r="F119" i="5"/>
  <c r="F143" i="5"/>
  <c r="F141" i="5"/>
  <c r="E220" i="5"/>
  <c r="A193" i="1" s="1"/>
  <c r="D65" i="6" s="1"/>
  <c r="E252" i="5"/>
  <c r="E237" i="5"/>
  <c r="BQ9" i="3" s="1"/>
  <c r="F230" i="5"/>
  <c r="F46" i="5"/>
  <c r="F130" i="5"/>
  <c r="E6" i="5"/>
  <c r="D10" i="1" s="1"/>
  <c r="E94" i="5"/>
  <c r="F117" i="1" s="1"/>
  <c r="F80" i="5"/>
  <c r="F192" i="5"/>
  <c r="E95" i="5"/>
  <c r="F118" i="1" s="1"/>
  <c r="E114" i="6" s="1"/>
  <c r="F23" i="5"/>
  <c r="F135" i="5"/>
  <c r="E16" i="5"/>
  <c r="D25" i="1" s="1"/>
  <c r="E107" i="5"/>
  <c r="G125" i="1" s="1"/>
  <c r="E130" i="5"/>
  <c r="F111" i="5"/>
  <c r="E145" i="5"/>
  <c r="F184" i="5"/>
  <c r="E196" i="5"/>
  <c r="E13" i="5"/>
  <c r="F22" i="1" s="1"/>
  <c r="F63" i="5"/>
  <c r="E97" i="5"/>
  <c r="F147" i="5"/>
  <c r="F246" i="5"/>
  <c r="F150" i="5"/>
  <c r="E52" i="5"/>
  <c r="F183" i="5"/>
  <c r="E104" i="5"/>
  <c r="D152" i="1" s="1"/>
  <c r="E60" i="5"/>
  <c r="D79" i="1" s="1"/>
  <c r="F212" i="5"/>
  <c r="F179" i="5"/>
  <c r="E41" i="5"/>
  <c r="D56" i="1" s="1"/>
  <c r="F32" i="5"/>
  <c r="F138" i="5"/>
  <c r="F225" i="5"/>
  <c r="E240" i="5"/>
  <c r="E89" i="1" s="1"/>
  <c r="E163" i="5"/>
  <c r="AC48" i="2" s="1"/>
  <c r="AB48" i="2" s="1"/>
  <c r="F104" i="5"/>
  <c r="E158" i="5"/>
  <c r="E83" i="5"/>
  <c r="D116" i="1" s="1"/>
  <c r="F49" i="5"/>
  <c r="E106" i="5"/>
  <c r="F159" i="1" s="1"/>
  <c r="F223" i="5"/>
  <c r="E153" i="5"/>
  <c r="E175" i="5"/>
  <c r="F27" i="5"/>
  <c r="F70" i="5"/>
  <c r="F250" i="5"/>
  <c r="F209" i="5"/>
  <c r="F204" i="5"/>
  <c r="F14" i="5"/>
  <c r="E212" i="5"/>
  <c r="F156" i="5"/>
  <c r="F233" i="5"/>
  <c r="F201" i="5"/>
  <c r="F205" i="5"/>
  <c r="F145" i="5"/>
  <c r="F187" i="5"/>
  <c r="F251" i="5"/>
  <c r="F243" i="5"/>
  <c r="F194" i="5"/>
  <c r="E105" i="5"/>
  <c r="E152" i="1" s="1"/>
  <c r="F220" i="5"/>
  <c r="E51" i="5"/>
  <c r="E68" i="1" s="1"/>
  <c r="F216" i="5"/>
  <c r="F159" i="5"/>
  <c r="F125" i="5"/>
  <c r="E15" i="5"/>
  <c r="D24" i="1" s="1"/>
  <c r="E110" i="5"/>
  <c r="F114" i="5"/>
  <c r="F238" i="5"/>
  <c r="F241" i="5"/>
  <c r="E143" i="5"/>
  <c r="E65" i="5"/>
  <c r="D88" i="1" s="1"/>
  <c r="F120" i="5"/>
  <c r="E128" i="5"/>
  <c r="E135" i="5"/>
  <c r="E26" i="5"/>
  <c r="D38" i="1" s="1"/>
  <c r="F237" i="5"/>
  <c r="F210" i="5"/>
  <c r="E63" i="5"/>
  <c r="E50" i="5"/>
  <c r="F6" i="5"/>
  <c r="E250" i="5"/>
  <c r="D183" i="1" s="1"/>
  <c r="E211" i="5"/>
  <c r="F17" i="5"/>
  <c r="E248" i="5"/>
  <c r="E113" i="5"/>
  <c r="E155" i="5"/>
  <c r="E221" i="5"/>
  <c r="A194" i="1" s="1"/>
  <c r="E65" i="6" s="1"/>
  <c r="F40" i="5"/>
  <c r="E108" i="5"/>
  <c r="D131" i="1" s="1"/>
  <c r="D138" i="1" s="1"/>
  <c r="D151" i="1" s="1"/>
  <c r="D158" i="1" s="1"/>
  <c r="D165" i="1" s="1"/>
  <c r="D172" i="1" s="1"/>
  <c r="E88" i="5"/>
  <c r="E137" i="5"/>
  <c r="E204" i="5"/>
  <c r="F180" i="1" s="1"/>
  <c r="F44" i="5"/>
  <c r="F43" i="5"/>
  <c r="F214" i="5"/>
  <c r="F153" i="5"/>
  <c r="E136" i="5"/>
  <c r="E170" i="5"/>
  <c r="F222" i="5"/>
  <c r="F37" i="5"/>
  <c r="F39" i="5"/>
  <c r="E91" i="5"/>
  <c r="F113" i="1" s="1"/>
  <c r="F89" i="5"/>
  <c r="F24" i="5"/>
  <c r="E189" i="5"/>
  <c r="E162" i="5"/>
  <c r="F144" i="5"/>
  <c r="E10" i="5"/>
  <c r="C22" i="1" s="1"/>
  <c r="F50" i="5"/>
  <c r="E234" i="5"/>
  <c r="BQ3" i="3" s="1"/>
  <c r="E216" i="5"/>
  <c r="E152" i="5"/>
  <c r="F20" i="5"/>
  <c r="E92" i="5"/>
  <c r="F114" i="1" s="1"/>
  <c r="E37" i="5"/>
  <c r="D51" i="1" s="1"/>
  <c r="E9" i="5"/>
  <c r="D20" i="1" s="1"/>
  <c r="F158" i="5"/>
  <c r="F248" i="5"/>
  <c r="F140" i="5"/>
  <c r="F203" i="5"/>
  <c r="F202" i="5"/>
  <c r="F236" i="5"/>
  <c r="E192" i="5"/>
  <c r="F121" i="5"/>
  <c r="F160" i="5"/>
  <c r="F157" i="5"/>
  <c r="E29" i="5"/>
  <c r="D42" i="1" s="1"/>
  <c r="F64" i="5"/>
  <c r="F136" i="5"/>
  <c r="E194" i="5"/>
  <c r="E190" i="5"/>
  <c r="F79" i="5"/>
  <c r="E96" i="5"/>
  <c r="D84" i="1" s="1"/>
  <c r="E139" i="5"/>
  <c r="F82" i="5"/>
  <c r="F132" i="5"/>
  <c r="E133" i="5"/>
  <c r="T48" i="2" s="1"/>
  <c r="S48" i="2" s="1"/>
  <c r="E186" i="5"/>
  <c r="E230" i="5"/>
  <c r="AB18" i="3" s="1"/>
  <c r="F106" i="5"/>
  <c r="E54" i="5"/>
  <c r="D72" i="1" s="1"/>
  <c r="F213" i="5"/>
  <c r="E219" i="5"/>
  <c r="F151" i="5"/>
  <c r="E53" i="5"/>
  <c r="A30" i="1" s="1"/>
  <c r="E182" i="5"/>
  <c r="F175" i="5"/>
  <c r="E121" i="5"/>
  <c r="F88" i="5"/>
  <c r="E45" i="5"/>
  <c r="D61" i="1" s="1"/>
  <c r="F41" i="5"/>
  <c r="E33" i="5"/>
  <c r="D46" i="1" s="1"/>
  <c r="F8" i="5"/>
  <c r="E73" i="5"/>
  <c r="D105" i="1" s="1"/>
  <c r="F171" i="5"/>
  <c r="F59" i="5"/>
  <c r="E30" i="5"/>
  <c r="D43" i="1" s="1"/>
  <c r="F162" i="5"/>
  <c r="F74" i="5"/>
  <c r="AN50" i="2"/>
  <c r="F232" i="5"/>
  <c r="F252" i="5"/>
  <c r="E166" i="5"/>
  <c r="F173" i="5"/>
  <c r="E127" i="5"/>
  <c r="F61" i="5"/>
  <c r="E23" i="5"/>
  <c r="D34" i="1" s="1"/>
  <c r="E184" i="5"/>
  <c r="F148" i="5"/>
  <c r="E109" i="5"/>
  <c r="G124" i="1" s="1"/>
  <c r="G130" i="1" s="1"/>
  <c r="G137" i="1" s="1"/>
  <c r="G144" i="1" s="1"/>
  <c r="G150" i="1" s="1"/>
  <c r="G157" i="1" s="1"/>
  <c r="G164" i="1" s="1"/>
  <c r="G171" i="1" s="1"/>
  <c r="F77" i="5"/>
  <c r="E49" i="5"/>
  <c r="D68" i="1" s="1"/>
  <c r="F25" i="5"/>
  <c r="E8" i="5"/>
  <c r="D16" i="1" s="1"/>
  <c r="E160" i="5"/>
  <c r="E59" i="5"/>
  <c r="D78" i="1" s="1"/>
  <c r="F188" i="5"/>
  <c r="F81" i="5"/>
  <c r="E167" i="5"/>
  <c r="E36" i="5"/>
  <c r="D50" i="1" s="1"/>
  <c r="F139" i="5"/>
  <c r="F21" i="5"/>
  <c r="E46" i="5"/>
  <c r="D65" i="1" s="1"/>
  <c r="F178" i="5"/>
  <c r="F90" i="5"/>
  <c r="F224" i="5"/>
  <c r="F231" i="5"/>
  <c r="E245" i="5"/>
  <c r="D94" i="1" s="1"/>
  <c r="E116" i="5"/>
  <c r="E67" i="5"/>
  <c r="F97" i="1" s="1"/>
  <c r="D226" i="1" s="1"/>
  <c r="D110" i="6" s="1"/>
  <c r="E197" i="5"/>
  <c r="F161" i="5"/>
  <c r="F76" i="5"/>
  <c r="E195" i="5"/>
  <c r="E89" i="5"/>
  <c r="E4" i="5"/>
  <c r="D6" i="1" s="1"/>
  <c r="F133" i="5"/>
  <c r="F48" i="5"/>
  <c r="E62" i="5"/>
  <c r="D86" i="1" s="1"/>
  <c r="F3" i="5"/>
  <c r="F154" i="5"/>
  <c r="F86" i="5"/>
  <c r="F22" i="5"/>
  <c r="F228" i="5"/>
  <c r="F235" i="5"/>
  <c r="F242" i="5"/>
  <c r="E247" i="5"/>
  <c r="A86" i="1" s="1"/>
  <c r="E215" i="5"/>
  <c r="E161" i="5"/>
  <c r="E117" i="5"/>
  <c r="E142" i="5"/>
  <c r="F47" i="5"/>
  <c r="E138" i="5"/>
  <c r="E32" i="5"/>
  <c r="D45" i="1" s="1"/>
  <c r="F65" i="5"/>
  <c r="E20" i="5"/>
  <c r="D30" i="1" s="1"/>
  <c r="E78" i="5"/>
  <c r="F78" i="5"/>
  <c r="E243" i="5"/>
  <c r="D92" i="1" s="1"/>
  <c r="F83" i="5"/>
  <c r="F31" i="5"/>
  <c r="E126" i="5"/>
  <c r="E28" i="5"/>
  <c r="D41" i="1" s="1"/>
  <c r="F164" i="5"/>
  <c r="E144" i="5"/>
  <c r="F199" i="5"/>
  <c r="F7" i="5"/>
  <c r="F128" i="5"/>
  <c r="E14" i="5"/>
  <c r="D23" i="1" s="1"/>
  <c r="AN51" i="2"/>
  <c r="E244" i="5"/>
  <c r="D93" i="1" s="1"/>
  <c r="E172" i="5"/>
  <c r="F29" i="5"/>
  <c r="F115" i="5"/>
  <c r="F221" i="5"/>
  <c r="E178" i="5"/>
  <c r="F73" i="5"/>
  <c r="F169" i="5"/>
  <c r="E77" i="5"/>
  <c r="E174" i="5"/>
  <c r="F56" i="5"/>
  <c r="F195" i="5"/>
  <c r="E71" i="5"/>
  <c r="D103" i="1" s="1"/>
  <c r="F15" i="5"/>
  <c r="F207" i="5"/>
  <c r="E114" i="5"/>
  <c r="E124" i="5"/>
  <c r="E43" i="5"/>
  <c r="D59" i="1" s="1"/>
  <c r="F177" i="5"/>
  <c r="F87" i="5"/>
  <c r="E183" i="5"/>
  <c r="E31" i="5"/>
  <c r="D44" i="1" s="1"/>
  <c r="F101" i="5"/>
  <c r="E98" i="5"/>
  <c r="E83" i="1" s="1"/>
  <c r="F218" i="5"/>
  <c r="F98" i="5"/>
  <c r="E223" i="5"/>
  <c r="A97" i="1" s="1"/>
  <c r="E235" i="5"/>
  <c r="BQ5" i="3" s="1"/>
  <c r="E226" i="5"/>
  <c r="BJ4" i="3" s="1"/>
  <c r="F315" i="5"/>
  <c r="F319" i="5"/>
  <c r="F323" i="5"/>
  <c r="F327" i="5"/>
  <c r="F331" i="5"/>
  <c r="F335" i="5"/>
  <c r="E314" i="5"/>
  <c r="E318" i="5"/>
  <c r="D52" i="6" s="1"/>
  <c r="E322" i="5"/>
  <c r="D57" i="6" s="1"/>
  <c r="E326" i="5"/>
  <c r="D47" i="6" s="1"/>
  <c r="E330" i="5"/>
  <c r="B48" i="4" s="1"/>
  <c r="E334" i="5"/>
  <c r="E312" i="5"/>
  <c r="A29" i="7" s="1"/>
  <c r="F253" i="5"/>
  <c r="F255" i="5"/>
  <c r="F257" i="5"/>
  <c r="F259" i="5"/>
  <c r="F261" i="5"/>
  <c r="F263" i="5"/>
  <c r="F265" i="5"/>
  <c r="F267" i="5"/>
  <c r="F269" i="5"/>
  <c r="F271" i="5"/>
  <c r="F273" i="5"/>
  <c r="F275" i="5"/>
  <c r="F277" i="5"/>
  <c r="F279" i="5"/>
  <c r="F281" i="5"/>
  <c r="F283" i="5"/>
  <c r="F285" i="5"/>
  <c r="F287" i="5"/>
  <c r="F289" i="5"/>
  <c r="F291" i="5"/>
  <c r="F293" i="5"/>
  <c r="F295" i="5"/>
  <c r="F297" i="5"/>
  <c r="F299" i="5"/>
  <c r="E302" i="5"/>
  <c r="A19" i="7" s="1"/>
  <c r="E304" i="5"/>
  <c r="A21" i="7" s="1"/>
  <c r="E306" i="5"/>
  <c r="E308" i="5"/>
  <c r="E310" i="5"/>
  <c r="F316" i="5"/>
  <c r="F320" i="5"/>
  <c r="F324" i="5"/>
  <c r="F328" i="5"/>
  <c r="F332" i="5"/>
  <c r="F336" i="5"/>
  <c r="E315" i="5"/>
  <c r="E319" i="5"/>
  <c r="D54" i="6" s="1"/>
  <c r="E323" i="5"/>
  <c r="D59" i="6" s="1"/>
  <c r="E327" i="5"/>
  <c r="E331" i="5"/>
  <c r="E335" i="5"/>
  <c r="E254" i="5"/>
  <c r="E256" i="5"/>
  <c r="E258" i="5"/>
  <c r="E260" i="5"/>
  <c r="E262" i="5"/>
  <c r="D2" i="6" s="1"/>
  <c r="E264" i="5"/>
  <c r="F5" i="6" s="1"/>
  <c r="E266" i="5"/>
  <c r="E268" i="5"/>
  <c r="E270" i="5"/>
  <c r="J8" i="6" s="1"/>
  <c r="E272" i="5"/>
  <c r="E274" i="5"/>
  <c r="E276" i="5"/>
  <c r="D11" i="6" s="1"/>
  <c r="E278" i="5"/>
  <c r="E280" i="5"/>
  <c r="E282" i="5"/>
  <c r="D29" i="6" s="1"/>
  <c r="E284" i="5"/>
  <c r="E286" i="5"/>
  <c r="E288" i="5"/>
  <c r="E290" i="5"/>
  <c r="E292" i="5"/>
  <c r="D15" i="6" s="1"/>
  <c r="E294" i="5"/>
  <c r="E296" i="5"/>
  <c r="D25" i="6" s="1"/>
  <c r="E298" i="5"/>
  <c r="D27" i="6" s="1"/>
  <c r="E300" i="5"/>
  <c r="F302" i="5"/>
  <c r="F304" i="5"/>
  <c r="F306" i="5"/>
  <c r="F308" i="5"/>
  <c r="F310" i="5"/>
  <c r="F313" i="5"/>
  <c r="F321" i="5"/>
  <c r="F329" i="5"/>
  <c r="F312" i="5"/>
  <c r="E320" i="5"/>
  <c r="D55" i="6" s="1"/>
  <c r="E328" i="5"/>
  <c r="B46" i="4" s="1"/>
  <c r="E253" i="5"/>
  <c r="E257" i="5"/>
  <c r="E261" i="5"/>
  <c r="E265" i="5"/>
  <c r="J5" i="6" s="1"/>
  <c r="E269" i="5"/>
  <c r="J7" i="6" s="1"/>
  <c r="E273" i="5"/>
  <c r="E277" i="5"/>
  <c r="E281" i="5"/>
  <c r="E285" i="5"/>
  <c r="E289" i="5"/>
  <c r="D19" i="6" s="1"/>
  <c r="E293" i="5"/>
  <c r="D23" i="6" s="1"/>
  <c r="E297" i="5"/>
  <c r="F301" i="5"/>
  <c r="F305" i="5"/>
  <c r="F309" i="5"/>
  <c r="F314" i="5"/>
  <c r="F322" i="5"/>
  <c r="F330" i="5"/>
  <c r="E313" i="5"/>
  <c r="E321" i="5"/>
  <c r="E329" i="5"/>
  <c r="B47" i="4" s="1"/>
  <c r="F254" i="5"/>
  <c r="F258" i="5"/>
  <c r="F262" i="5"/>
  <c r="F266" i="5"/>
  <c r="F270" i="5"/>
  <c r="F274" i="5"/>
  <c r="F278" i="5"/>
  <c r="F282" i="5"/>
  <c r="F286" i="5"/>
  <c r="F290" i="5"/>
  <c r="F294" i="5"/>
  <c r="F298" i="5"/>
  <c r="E303" i="5"/>
  <c r="A20" i="7" s="1"/>
  <c r="E307" i="5"/>
  <c r="E311" i="5"/>
  <c r="F317" i="5"/>
  <c r="F325" i="5"/>
  <c r="F333" i="5"/>
  <c r="E316" i="5"/>
  <c r="D51" i="6" s="1"/>
  <c r="E324" i="5"/>
  <c r="E60" i="6" s="1"/>
  <c r="E255" i="5"/>
  <c r="E259" i="5"/>
  <c r="E263" i="5"/>
  <c r="D5" i="6" s="1"/>
  <c r="E267" i="5"/>
  <c r="E271" i="5"/>
  <c r="E275" i="5"/>
  <c r="E279" i="5"/>
  <c r="R6" i="7" s="1"/>
  <c r="E283" i="5"/>
  <c r="D22" i="6" s="1"/>
  <c r="E287" i="5"/>
  <c r="E291" i="5"/>
  <c r="E295" i="5"/>
  <c r="E299" i="5"/>
  <c r="F303" i="5"/>
  <c r="F307" i="5"/>
  <c r="F311" i="5"/>
  <c r="F318" i="5"/>
  <c r="F326" i="5"/>
  <c r="F334" i="5"/>
  <c r="E317" i="5"/>
  <c r="D53" i="6" s="1"/>
  <c r="E325" i="5"/>
  <c r="E333" i="5"/>
  <c r="P6" i="7" s="1"/>
  <c r="F256" i="5"/>
  <c r="F260" i="5"/>
  <c r="F264" i="5"/>
  <c r="F268" i="5"/>
  <c r="F272" i="5"/>
  <c r="F276" i="5"/>
  <c r="F280" i="5"/>
  <c r="F284" i="5"/>
  <c r="F288" i="5"/>
  <c r="F292" i="5"/>
  <c r="F296" i="5"/>
  <c r="F300" i="5"/>
  <c r="E305" i="5"/>
  <c r="E309" i="5"/>
  <c r="G11" i="3"/>
  <c r="B11" i="10"/>
  <c r="G11" i="10" s="1"/>
  <c r="E10" i="3"/>
  <c r="B10" i="10"/>
  <c r="A12" i="3"/>
  <c r="B12" i="10"/>
  <c r="G12" i="10" s="1"/>
  <c r="AW6" i="3"/>
  <c r="AY6" i="3" s="1"/>
  <c r="B9" i="10"/>
  <c r="AW11" i="3"/>
  <c r="AY11" i="3" s="1"/>
  <c r="B14" i="10"/>
  <c r="G14" i="10" s="1"/>
  <c r="AX64" i="3"/>
  <c r="B13" i="10"/>
  <c r="G13" i="10" s="1"/>
  <c r="F7" i="3"/>
  <c r="B7" i="10"/>
  <c r="H93" i="4"/>
  <c r="E87" i="4"/>
  <c r="AE48" i="2"/>
  <c r="C59" i="2"/>
  <c r="B56" i="2"/>
  <c r="R32" i="7"/>
  <c r="R27" i="7"/>
  <c r="R25" i="7"/>
  <c r="R54" i="7"/>
  <c r="R67" i="7"/>
  <c r="B53" i="8"/>
  <c r="D53" i="8" s="1"/>
  <c r="A82" i="4"/>
  <c r="R600" i="3"/>
  <c r="R437" i="3"/>
  <c r="R604" i="3"/>
  <c r="R513" i="3"/>
  <c r="R514" i="3"/>
  <c r="R607" i="3"/>
  <c r="R515" i="3"/>
  <c r="R439" i="3"/>
  <c r="R510" i="3"/>
  <c r="R526" i="3" s="1"/>
  <c r="R528" i="3" s="1"/>
  <c r="AI108" i="2"/>
  <c r="AF110" i="2"/>
  <c r="AI110" i="2" s="1"/>
  <c r="AL110" i="2" s="1"/>
  <c r="F13" i="3"/>
  <c r="E9" i="3"/>
  <c r="B5" i="7"/>
  <c r="B44" i="7" s="1"/>
  <c r="A72" i="4"/>
  <c r="E81" i="4"/>
  <c r="F81" i="4"/>
  <c r="R61" i="7"/>
  <c r="C10" i="8"/>
  <c r="D35" i="2"/>
  <c r="C56" i="2" s="1"/>
  <c r="G73" i="2"/>
  <c r="H69" i="4"/>
  <c r="H74" i="4"/>
  <c r="H72" i="4"/>
  <c r="H65" i="4"/>
  <c r="H67" i="4"/>
  <c r="H66" i="4"/>
  <c r="H64" i="4"/>
  <c r="E85" i="4"/>
  <c r="A81" i="4"/>
  <c r="C94" i="4"/>
  <c r="D58" i="6" s="1"/>
  <c r="K35" i="4"/>
  <c r="J35" i="4"/>
  <c r="F86" i="4"/>
  <c r="L35" i="4"/>
  <c r="E86" i="4"/>
  <c r="AI109" i="2"/>
  <c r="AF107" i="2"/>
  <c r="AI107" i="2" s="1"/>
  <c r="C43" i="2"/>
  <c r="Q98" i="2" s="1"/>
  <c r="T98" i="2" s="1"/>
  <c r="F69" i="4"/>
  <c r="R192" i="3"/>
  <c r="R194" i="3"/>
  <c r="R191" i="3"/>
  <c r="R190" i="3"/>
  <c r="R193" i="3"/>
  <c r="R120" i="3"/>
  <c r="R118" i="3"/>
  <c r="R119" i="3"/>
  <c r="R122" i="3"/>
  <c r="R121" i="3"/>
  <c r="R602" i="3"/>
  <c r="K199" i="5"/>
  <c r="E198" i="5" s="1"/>
  <c r="D184" i="1" s="1"/>
  <c r="S349" i="3"/>
  <c r="R512" i="3"/>
  <c r="R525" i="3" s="1"/>
  <c r="S278" i="3"/>
  <c r="B58" i="4"/>
  <c r="R436" i="3"/>
  <c r="U364" i="3"/>
  <c r="R364" i="3" s="1"/>
  <c r="F37" i="2"/>
  <c r="G37" i="2" s="1"/>
  <c r="M207" i="5"/>
  <c r="R137" i="3"/>
  <c r="R209" i="3"/>
  <c r="R175" i="3"/>
  <c r="S356" i="3"/>
  <c r="S354" i="3"/>
  <c r="S423" i="3"/>
  <c r="S421" i="3"/>
  <c r="R433" i="3"/>
  <c r="S279" i="3"/>
  <c r="S283" i="3"/>
  <c r="S281" i="3"/>
  <c r="AX58" i="3"/>
  <c r="AY58" i="3" s="1"/>
  <c r="R133" i="3"/>
  <c r="R206" i="3"/>
  <c r="R171" i="3"/>
  <c r="S351" i="3"/>
  <c r="S428" i="3"/>
  <c r="S426" i="3"/>
  <c r="S282" i="3"/>
  <c r="R516" i="3"/>
  <c r="R605" i="3"/>
  <c r="R440" i="3"/>
  <c r="E13" i="3"/>
  <c r="R435" i="3"/>
  <c r="R606" i="3"/>
  <c r="B52" i="4"/>
  <c r="O207" i="5"/>
  <c r="R173" i="3"/>
  <c r="S352" i="3"/>
  <c r="S350" i="3"/>
  <c r="S427" i="3"/>
  <c r="S425" i="3"/>
  <c r="S280" i="3"/>
  <c r="B6" i="7"/>
  <c r="C3" i="10"/>
  <c r="M200" i="5"/>
  <c r="O200" i="5"/>
  <c r="K200" i="5"/>
  <c r="O199" i="5"/>
  <c r="O208" i="5"/>
  <c r="M206" i="5"/>
  <c r="K206" i="5"/>
  <c r="E205" i="5" s="1"/>
  <c r="F184" i="1" s="1"/>
  <c r="M201" i="5"/>
  <c r="M202" i="5"/>
  <c r="O201" i="5"/>
  <c r="K207" i="5"/>
  <c r="M199" i="5"/>
  <c r="O202" i="5"/>
  <c r="M208" i="5"/>
  <c r="B53" i="4"/>
  <c r="A69" i="4"/>
  <c r="Q102" i="2"/>
  <c r="T102" i="2" s="1"/>
  <c r="C26" i="4"/>
  <c r="A10" i="3"/>
  <c r="J89" i="2"/>
  <c r="D8" i="3"/>
  <c r="AX65" i="3"/>
  <c r="B55" i="4"/>
  <c r="D55" i="4" s="1"/>
  <c r="A14" i="3"/>
  <c r="C32" i="4"/>
  <c r="R511" i="3"/>
  <c r="R509" i="3"/>
  <c r="H11" i="3"/>
  <c r="U434" i="3"/>
  <c r="R434" i="3" s="1"/>
  <c r="U362" i="3"/>
  <c r="R362" i="3" s="1"/>
  <c r="C30" i="4"/>
  <c r="E21" i="4"/>
  <c r="Q21" i="4"/>
  <c r="B21" i="4"/>
  <c r="F142" i="5"/>
  <c r="AX62" i="3"/>
  <c r="B56" i="4"/>
  <c r="D11" i="3"/>
  <c r="F11" i="3"/>
  <c r="AW8" i="3"/>
  <c r="AX8" i="3" s="1"/>
  <c r="AF24" i="3"/>
  <c r="AF25" i="3" s="1"/>
  <c r="J88" i="2"/>
  <c r="AW5" i="3"/>
  <c r="AZ5" i="3" s="1"/>
  <c r="C28" i="4"/>
  <c r="D28" i="4" s="1"/>
  <c r="B8" i="7"/>
  <c r="B11" i="7"/>
  <c r="C31" i="4"/>
  <c r="F10" i="3"/>
  <c r="D13" i="3"/>
  <c r="AW10" i="3"/>
  <c r="AW7" i="3"/>
  <c r="AX61" i="3"/>
  <c r="D10" i="3"/>
  <c r="C25" i="4"/>
  <c r="A13" i="3"/>
  <c r="R30" i="7"/>
  <c r="R53" i="7"/>
  <c r="R63" i="7"/>
  <c r="R31" i="7"/>
  <c r="R38" i="7"/>
  <c r="R33" i="7"/>
  <c r="R57" i="7"/>
  <c r="R41" i="7"/>
  <c r="R58" i="7"/>
  <c r="R40" i="7"/>
  <c r="R42" i="7"/>
  <c r="C9" i="8"/>
  <c r="R39" i="7"/>
  <c r="R43" i="7"/>
  <c r="R51" i="7"/>
  <c r="R56" i="7"/>
  <c r="O21" i="4"/>
  <c r="H21" i="4"/>
  <c r="S21" i="4"/>
  <c r="M21" i="4"/>
  <c r="F53" i="2"/>
  <c r="G53" i="2" s="1"/>
  <c r="B54" i="4"/>
  <c r="F51" i="2"/>
  <c r="G51" i="2" s="1"/>
  <c r="H51" i="2" s="1"/>
  <c r="H58" i="2" s="1"/>
  <c r="F9" i="3"/>
  <c r="A9" i="3"/>
  <c r="BG53" i="3" s="1"/>
  <c r="C27" i="4"/>
  <c r="BD49" i="3"/>
  <c r="BE49" i="3" s="1"/>
  <c r="B7" i="7"/>
  <c r="F38" i="2"/>
  <c r="G38" i="2" s="1"/>
  <c r="D9" i="3"/>
  <c r="AX60" i="3"/>
  <c r="BB4" i="10"/>
  <c r="F12" i="3"/>
  <c r="AX63" i="3"/>
  <c r="AW9" i="3"/>
  <c r="E12" i="3"/>
  <c r="B10" i="7"/>
  <c r="D12" i="3"/>
  <c r="B57" i="4"/>
  <c r="BB6" i="10"/>
  <c r="BB5" i="10"/>
  <c r="F14" i="3"/>
  <c r="B12" i="7"/>
  <c r="Z7" i="3"/>
  <c r="B59" i="4"/>
  <c r="E14" i="3"/>
  <c r="D14" i="3"/>
  <c r="E11" i="3"/>
  <c r="C29" i="4"/>
  <c r="A11" i="3"/>
  <c r="B9" i="7"/>
  <c r="A7" i="3"/>
  <c r="AW4" i="3"/>
  <c r="BD50" i="3"/>
  <c r="BE50" i="3" s="1"/>
  <c r="E8" i="3"/>
  <c r="BG40" i="3"/>
  <c r="A8" i="3"/>
  <c r="AX59" i="3"/>
  <c r="F8" i="3"/>
  <c r="AJ3" i="3"/>
  <c r="BB3" i="10"/>
  <c r="G26" i="1"/>
  <c r="G70" i="1" s="1"/>
  <c r="E16" i="2" s="1"/>
  <c r="B30" i="12" s="1"/>
  <c r="F70" i="1"/>
  <c r="G78" i="1" s="1"/>
  <c r="G79" i="1" s="1"/>
  <c r="E10" i="2" s="1"/>
  <c r="G10" i="2" s="1"/>
  <c r="F182" i="1" l="1"/>
  <c r="G79" i="2"/>
  <c r="G83" i="2"/>
  <c r="G75" i="2"/>
  <c r="G84" i="2"/>
  <c r="G77" i="2"/>
  <c r="G85" i="2"/>
  <c r="G78" i="2"/>
  <c r="G81" i="2"/>
  <c r="G74" i="2"/>
  <c r="G27" i="6"/>
  <c r="G19" i="6"/>
  <c r="G32" i="6"/>
  <c r="G37" i="6"/>
  <c r="G42" i="6"/>
  <c r="L32" i="6"/>
  <c r="L27" i="6"/>
  <c r="F19" i="6"/>
  <c r="F12" i="6"/>
  <c r="D230" i="1"/>
  <c r="F27" i="6"/>
  <c r="F42" i="6"/>
  <c r="F32" i="6"/>
  <c r="F37" i="6"/>
  <c r="W48" i="2"/>
  <c r="V48" i="2" s="1"/>
  <c r="AN18" i="10"/>
  <c r="AI13" i="10"/>
  <c r="AN38" i="10"/>
  <c r="AI21" i="10"/>
  <c r="AN28" i="10"/>
  <c r="AI17" i="10"/>
  <c r="AN23" i="10"/>
  <c r="AI15" i="10"/>
  <c r="AN33" i="10"/>
  <c r="AI19" i="10"/>
  <c r="AN43" i="10"/>
  <c r="AK22" i="10"/>
  <c r="AI23" i="10"/>
  <c r="AM33" i="10"/>
  <c r="AM13" i="10"/>
  <c r="AM28" i="10"/>
  <c r="AM8" i="10"/>
  <c r="AM43" i="10"/>
  <c r="AM23" i="10"/>
  <c r="AM38" i="10"/>
  <c r="AM18" i="10"/>
  <c r="AI9" i="10"/>
  <c r="AN8" i="10"/>
  <c r="AY4" i="3"/>
  <c r="AX4" i="3"/>
  <c r="AZ4" i="3"/>
  <c r="AN48" i="10"/>
  <c r="AI11" i="10"/>
  <c r="AN13" i="10"/>
  <c r="G7" i="10"/>
  <c r="E7" i="10"/>
  <c r="R527" i="3"/>
  <c r="R584" i="3"/>
  <c r="R609" i="3" s="1"/>
  <c r="R518" i="3"/>
  <c r="R519" i="3" s="1"/>
  <c r="R520" i="3" s="1"/>
  <c r="D31" i="4"/>
  <c r="R619" i="3"/>
  <c r="R618" i="3"/>
  <c r="D32" i="4"/>
  <c r="Z48" i="2"/>
  <c r="Y48" i="2" s="1"/>
  <c r="E8" i="10"/>
  <c r="F75" i="4"/>
  <c r="D25" i="4"/>
  <c r="BC15" i="3"/>
  <c r="BD15" i="3" s="1"/>
  <c r="BD28" i="3" s="1"/>
  <c r="BE31" i="3" s="1"/>
  <c r="BE32" i="3" s="1"/>
  <c r="M43" i="2"/>
  <c r="BD77" i="3"/>
  <c r="BI76" i="3"/>
  <c r="BD74" i="3" s="1"/>
  <c r="BD76" i="3"/>
  <c r="D9" i="6"/>
  <c r="E206" i="5"/>
  <c r="F185" i="1" s="1"/>
  <c r="E201" i="5"/>
  <c r="E199" i="5"/>
  <c r="E207" i="5"/>
  <c r="F186" i="1" s="1"/>
  <c r="G173" i="1"/>
  <c r="J15" i="6"/>
  <c r="D12" i="6"/>
  <c r="G43" i="2"/>
  <c r="G58" i="2" s="1"/>
  <c r="E118" i="1" s="1"/>
  <c r="AI2" i="3"/>
  <c r="J12" i="6"/>
  <c r="J13" i="6"/>
  <c r="J14" i="6"/>
  <c r="E125" i="1"/>
  <c r="AN106" i="2"/>
  <c r="D14" i="6"/>
  <c r="D21" i="6"/>
  <c r="D13" i="6"/>
  <c r="D20" i="6"/>
  <c r="Z107" i="2"/>
  <c r="AL113" i="2" s="1"/>
  <c r="F132" i="1"/>
  <c r="G159" i="1"/>
  <c r="E139" i="1"/>
  <c r="G166" i="1"/>
  <c r="E173" i="1"/>
  <c r="F125" i="1"/>
  <c r="G145" i="1"/>
  <c r="Z108" i="2"/>
  <c r="AL115" i="2" s="1"/>
  <c r="F166" i="1"/>
  <c r="F145" i="1"/>
  <c r="G152" i="1"/>
  <c r="Z109" i="2"/>
  <c r="Z114" i="2" s="1"/>
  <c r="E166" i="1"/>
  <c r="F139" i="1"/>
  <c r="G132" i="1"/>
  <c r="E132" i="1"/>
  <c r="D10" i="6"/>
  <c r="C139" i="1"/>
  <c r="C152" i="1"/>
  <c r="K67" i="7"/>
  <c r="K68" i="7"/>
  <c r="K65" i="7"/>
  <c r="K20" i="7"/>
  <c r="C125" i="1"/>
  <c r="E159" i="1"/>
  <c r="E145" i="1"/>
  <c r="G139" i="1"/>
  <c r="F173" i="1"/>
  <c r="F152" i="1"/>
  <c r="C173" i="1"/>
  <c r="K19" i="7"/>
  <c r="D87" i="1"/>
  <c r="D42" i="6"/>
  <c r="A24" i="7"/>
  <c r="K23" i="7" s="1"/>
  <c r="J27" i="6"/>
  <c r="A25" i="7"/>
  <c r="K24" i="7" s="1"/>
  <c r="J32" i="6"/>
  <c r="A26" i="7"/>
  <c r="D37" i="6"/>
  <c r="A23" i="7"/>
  <c r="K31" i="7" s="1"/>
  <c r="J37" i="6"/>
  <c r="A27" i="7"/>
  <c r="K26" i="7" s="1"/>
  <c r="D139" i="1"/>
  <c r="D32" i="6"/>
  <c r="A22" i="7"/>
  <c r="K21" i="7" s="1"/>
  <c r="J42" i="6"/>
  <c r="A28" i="7"/>
  <c r="K27" i="7" s="1"/>
  <c r="I11" i="6"/>
  <c r="I10" i="6"/>
  <c r="D145" i="1"/>
  <c r="D132" i="1"/>
  <c r="D125" i="1"/>
  <c r="J35" i="6"/>
  <c r="D30" i="6"/>
  <c r="J45" i="6"/>
  <c r="J40" i="6"/>
  <c r="D35" i="6"/>
  <c r="D40" i="6"/>
  <c r="D45" i="6"/>
  <c r="J30" i="6"/>
  <c r="D28" i="6"/>
  <c r="J43" i="6"/>
  <c r="D33" i="6"/>
  <c r="D38" i="6"/>
  <c r="J28" i="6"/>
  <c r="J38" i="6"/>
  <c r="J33" i="6"/>
  <c r="D43" i="6"/>
  <c r="J29" i="6"/>
  <c r="J39" i="6"/>
  <c r="J44" i="6"/>
  <c r="D39" i="6"/>
  <c r="D34" i="6"/>
  <c r="D44" i="6"/>
  <c r="J34" i="6"/>
  <c r="L373" i="4"/>
  <c r="L717" i="4"/>
  <c r="L569" i="4"/>
  <c r="L425" i="4"/>
  <c r="L737" i="4"/>
  <c r="L597" i="4"/>
  <c r="L452" i="4"/>
  <c r="L758" i="4"/>
  <c r="L628" i="4"/>
  <c r="L480" i="4"/>
  <c r="L237" i="4"/>
  <c r="L655" i="4"/>
  <c r="L511" i="4"/>
  <c r="L80" i="4"/>
  <c r="L718" i="4"/>
  <c r="L612" i="4"/>
  <c r="L500" i="4"/>
  <c r="L384" i="4"/>
  <c r="L766" i="4"/>
  <c r="L725" i="4"/>
  <c r="L676" i="4"/>
  <c r="L619" i="4"/>
  <c r="L564" i="4"/>
  <c r="L505" i="4"/>
  <c r="L448" i="4"/>
  <c r="L393" i="4"/>
  <c r="L360" i="4"/>
  <c r="L733" i="4"/>
  <c r="L687" i="4"/>
  <c r="L629" i="4"/>
  <c r="L575" i="4"/>
  <c r="L516" i="4"/>
  <c r="L459" i="4"/>
  <c r="L404" i="4"/>
  <c r="L374" i="4"/>
  <c r="L390" i="4"/>
  <c r="L406" i="4"/>
  <c r="L422" i="4"/>
  <c r="L438" i="4"/>
  <c r="L454" i="4"/>
  <c r="L470" i="4"/>
  <c r="L486" i="4"/>
  <c r="L502" i="4"/>
  <c r="L518" i="4"/>
  <c r="L534" i="4"/>
  <c r="L550" i="4"/>
  <c r="L566" i="4"/>
  <c r="L582" i="4"/>
  <c r="L598" i="4"/>
  <c r="L614" i="4"/>
  <c r="L630" i="4"/>
  <c r="L646" i="4"/>
  <c r="L662" i="4"/>
  <c r="L678" i="4"/>
  <c r="L694" i="4"/>
  <c r="L380" i="4"/>
  <c r="L401" i="4"/>
  <c r="L423" i="4"/>
  <c r="L444" i="4"/>
  <c r="L465" i="4"/>
  <c r="L487" i="4"/>
  <c r="L508" i="4"/>
  <c r="L529" i="4"/>
  <c r="L551" i="4"/>
  <c r="L572" i="4"/>
  <c r="L593" i="4"/>
  <c r="L615" i="4"/>
  <c r="L636" i="4"/>
  <c r="L657" i="4"/>
  <c r="L679" i="4"/>
  <c r="L699" i="4"/>
  <c r="L715" i="4"/>
  <c r="L731" i="4"/>
  <c r="L747" i="4"/>
  <c r="L763" i="4"/>
  <c r="L239" i="4"/>
  <c r="L365" i="4"/>
  <c r="L387" i="4"/>
  <c r="L408" i="4"/>
  <c r="L429" i="4"/>
  <c r="L451" i="4"/>
  <c r="L472" i="4"/>
  <c r="L493" i="4"/>
  <c r="L515" i="4"/>
  <c r="L536" i="4"/>
  <c r="L557" i="4"/>
  <c r="L579" i="4"/>
  <c r="L600" i="4"/>
  <c r="L621" i="4"/>
  <c r="L643" i="4"/>
  <c r="L664" i="4"/>
  <c r="L685" i="4"/>
  <c r="L704" i="4"/>
  <c r="L720" i="4"/>
  <c r="L736" i="4"/>
  <c r="L752" i="4"/>
  <c r="L768" i="4"/>
  <c r="L236" i="4"/>
  <c r="L746" i="4"/>
  <c r="L714" i="4"/>
  <c r="L677" i="4"/>
  <c r="L635" i="4"/>
  <c r="L592" i="4"/>
  <c r="L549" i="4"/>
  <c r="L507" i="4"/>
  <c r="L464" i="4"/>
  <c r="L421" i="4"/>
  <c r="L379" i="4"/>
  <c r="L83" i="4"/>
  <c r="L683" i="4"/>
  <c r="L537" i="4"/>
  <c r="L383" i="4"/>
  <c r="L709" i="4"/>
  <c r="L565" i="4"/>
  <c r="L409" i="4"/>
  <c r="L729" i="4"/>
  <c r="L596" i="4"/>
  <c r="L437" i="4"/>
  <c r="L750" i="4"/>
  <c r="L623" i="4"/>
  <c r="L468" i="4"/>
  <c r="L238" i="4"/>
  <c r="L697" i="4"/>
  <c r="L585" i="4"/>
  <c r="L469" i="4"/>
  <c r="L82" i="4"/>
  <c r="L757" i="4"/>
  <c r="L713" i="4"/>
  <c r="L661" i="4"/>
  <c r="L607" i="4"/>
  <c r="L548" i="4"/>
  <c r="L491" i="4"/>
  <c r="L436" i="4"/>
  <c r="L377" i="4"/>
  <c r="L765" i="4"/>
  <c r="L721" i="4"/>
  <c r="L672" i="4"/>
  <c r="L617" i="4"/>
  <c r="L559" i="4"/>
  <c r="L501" i="4"/>
  <c r="L447" i="4"/>
  <c r="L388" i="4"/>
  <c r="L378" i="4"/>
  <c r="L394" i="4"/>
  <c r="L410" i="4"/>
  <c r="L426" i="4"/>
  <c r="L442" i="4"/>
  <c r="L458" i="4"/>
  <c r="L474" i="4"/>
  <c r="L490" i="4"/>
  <c r="L506" i="4"/>
  <c r="L522" i="4"/>
  <c r="L538" i="4"/>
  <c r="L554" i="4"/>
  <c r="L570" i="4"/>
  <c r="L586" i="4"/>
  <c r="L602" i="4"/>
  <c r="L618" i="4"/>
  <c r="L634" i="4"/>
  <c r="L650" i="4"/>
  <c r="L651" i="4"/>
  <c r="L161" i="4"/>
  <c r="L523" i="4"/>
  <c r="L705" i="4"/>
  <c r="L399" i="4"/>
  <c r="L580" i="4"/>
  <c r="L761" i="4"/>
  <c r="L555" i="4"/>
  <c r="L158" i="4"/>
  <c r="L702" i="4"/>
  <c r="L591" i="4"/>
  <c r="L479" i="4"/>
  <c r="L81" i="4"/>
  <c r="L710" i="4"/>
  <c r="L601" i="4"/>
  <c r="L489" i="4"/>
  <c r="L366" i="4"/>
  <c r="L398" i="4"/>
  <c r="L430" i="4"/>
  <c r="L462" i="4"/>
  <c r="L494" i="4"/>
  <c r="L526" i="4"/>
  <c r="L558" i="4"/>
  <c r="L590" i="4"/>
  <c r="L622" i="4"/>
  <c r="L654" i="4"/>
  <c r="L674" i="4"/>
  <c r="L364" i="4"/>
  <c r="L391" i="4"/>
  <c r="L417" i="4"/>
  <c r="L449" i="4"/>
  <c r="L476" i="4"/>
  <c r="L503" i="4"/>
  <c r="L535" i="4"/>
  <c r="L561" i="4"/>
  <c r="L588" i="4"/>
  <c r="L620" i="4"/>
  <c r="L647" i="4"/>
  <c r="L673" i="4"/>
  <c r="L703" i="4"/>
  <c r="L723" i="4"/>
  <c r="L743" i="4"/>
  <c r="L767" i="4"/>
  <c r="L157" i="4"/>
  <c r="L381" i="4"/>
  <c r="L413" i="4"/>
  <c r="L440" i="4"/>
  <c r="L467" i="4"/>
  <c r="L499" i="4"/>
  <c r="L525" i="4"/>
  <c r="L552" i="4"/>
  <c r="L584" i="4"/>
  <c r="L611" i="4"/>
  <c r="L637" i="4"/>
  <c r="L669" i="4"/>
  <c r="L696" i="4"/>
  <c r="L716" i="4"/>
  <c r="L740" i="4"/>
  <c r="L760" i="4"/>
  <c r="L235" i="4"/>
  <c r="L738" i="4"/>
  <c r="L698" i="4"/>
  <c r="L645" i="4"/>
  <c r="L581" i="4"/>
  <c r="L528" i="4"/>
  <c r="L475" i="4"/>
  <c r="L411" i="4"/>
  <c r="L608" i="4"/>
  <c r="L769" i="4"/>
  <c r="L484" i="4"/>
  <c r="L665" i="4"/>
  <c r="L367" i="4"/>
  <c r="L543" i="4"/>
  <c r="L741" i="4"/>
  <c r="L527" i="4"/>
  <c r="L359" i="4"/>
  <c r="L692" i="4"/>
  <c r="L576" i="4"/>
  <c r="L463" i="4"/>
  <c r="L240" i="4"/>
  <c r="L701" i="4"/>
  <c r="L587" i="4"/>
  <c r="L473" i="4"/>
  <c r="L370" i="4"/>
  <c r="L402" i="4"/>
  <c r="L434" i="4"/>
  <c r="L466" i="4"/>
  <c r="L498" i="4"/>
  <c r="L530" i="4"/>
  <c r="L562" i="4"/>
  <c r="L594" i="4"/>
  <c r="L626" i="4"/>
  <c r="L658" i="4"/>
  <c r="L682" i="4"/>
  <c r="L369" i="4"/>
  <c r="L396" i="4"/>
  <c r="L428" i="4"/>
  <c r="L455" i="4"/>
  <c r="L481" i="4"/>
  <c r="L513" i="4"/>
  <c r="L540" i="4"/>
  <c r="L567" i="4"/>
  <c r="L599" i="4"/>
  <c r="L625" i="4"/>
  <c r="L652" i="4"/>
  <c r="L684" i="4"/>
  <c r="L707" i="4"/>
  <c r="L727" i="4"/>
  <c r="L751" i="4"/>
  <c r="L362" i="4"/>
  <c r="L84" i="4"/>
  <c r="L392" i="4"/>
  <c r="L419" i="4"/>
  <c r="L445" i="4"/>
  <c r="L477" i="4"/>
  <c r="L504" i="4"/>
  <c r="L531" i="4"/>
  <c r="L563" i="4"/>
  <c r="L589" i="4"/>
  <c r="L616" i="4"/>
  <c r="L648" i="4"/>
  <c r="L675" i="4"/>
  <c r="L700" i="4"/>
  <c r="L724" i="4"/>
  <c r="L744" i="4"/>
  <c r="L764" i="4"/>
  <c r="L363" i="4"/>
  <c r="L730" i="4"/>
  <c r="L688" i="4"/>
  <c r="L624" i="4"/>
  <c r="L571" i="4"/>
  <c r="L517" i="4"/>
  <c r="L453" i="4"/>
  <c r="L400" i="4"/>
  <c r="L361" i="4"/>
  <c r="L495" i="4"/>
  <c r="L681" i="4"/>
  <c r="L372" i="4"/>
  <c r="L553" i="4"/>
  <c r="L726" i="4"/>
  <c r="L427" i="4"/>
  <c r="L671" i="4"/>
  <c r="L441" i="4"/>
  <c r="L745" i="4"/>
  <c r="L649" i="4"/>
  <c r="L533" i="4"/>
  <c r="L420" i="4"/>
  <c r="L753" i="4"/>
  <c r="L660" i="4"/>
  <c r="L544" i="4"/>
  <c r="L431" i="4"/>
  <c r="L382" i="4"/>
  <c r="L414" i="4"/>
  <c r="L446" i="4"/>
  <c r="L478" i="4"/>
  <c r="L510" i="4"/>
  <c r="L542" i="4"/>
  <c r="L574" i="4"/>
  <c r="L606" i="4"/>
  <c r="L638" i="4"/>
  <c r="L666" i="4"/>
  <c r="L686" i="4"/>
  <c r="L375" i="4"/>
  <c r="L407" i="4"/>
  <c r="L433" i="4"/>
  <c r="L460" i="4"/>
  <c r="L492" i="4"/>
  <c r="L519" i="4"/>
  <c r="L545" i="4"/>
  <c r="L577" i="4"/>
  <c r="L604" i="4"/>
  <c r="L631" i="4"/>
  <c r="L663" i="4"/>
  <c r="L689" i="4"/>
  <c r="L711" i="4"/>
  <c r="L735" i="4"/>
  <c r="L755" i="4"/>
  <c r="L358" i="4"/>
  <c r="L371" i="4"/>
  <c r="L397" i="4"/>
  <c r="L424" i="4"/>
  <c r="L456" i="4"/>
  <c r="L483" i="4"/>
  <c r="L509" i="4"/>
  <c r="L541" i="4"/>
  <c r="L568" i="4"/>
  <c r="L595" i="4"/>
  <c r="L627" i="4"/>
  <c r="L653" i="4"/>
  <c r="L680" i="4"/>
  <c r="L708" i="4"/>
  <c r="L728" i="4"/>
  <c r="L748" i="4"/>
  <c r="L85" i="4"/>
  <c r="L762" i="4"/>
  <c r="L722" i="4"/>
  <c r="L667" i="4"/>
  <c r="L613" i="4"/>
  <c r="L560" i="4"/>
  <c r="L496" i="4"/>
  <c r="L443" i="4"/>
  <c r="L389" i="4"/>
  <c r="L749" i="4"/>
  <c r="L457" i="4"/>
  <c r="L639" i="4"/>
  <c r="L160" i="4"/>
  <c r="L512" i="4"/>
  <c r="L693" i="4"/>
  <c r="L395" i="4"/>
  <c r="L640" i="4"/>
  <c r="L415" i="4"/>
  <c r="L734" i="4"/>
  <c r="L633" i="4"/>
  <c r="L521" i="4"/>
  <c r="L405" i="4"/>
  <c r="L742" i="4"/>
  <c r="L644" i="4"/>
  <c r="L532" i="4"/>
  <c r="L416" i="4"/>
  <c r="L386" i="4"/>
  <c r="L418" i="4"/>
  <c r="L450" i="4"/>
  <c r="L482" i="4"/>
  <c r="L514" i="4"/>
  <c r="L546" i="4"/>
  <c r="L578" i="4"/>
  <c r="L610" i="4"/>
  <c r="L642" i="4"/>
  <c r="L670" i="4"/>
  <c r="L690" i="4"/>
  <c r="L385" i="4"/>
  <c r="L412" i="4"/>
  <c r="L439" i="4"/>
  <c r="L471" i="4"/>
  <c r="L497" i="4"/>
  <c r="L524" i="4"/>
  <c r="L556" i="4"/>
  <c r="L583" i="4"/>
  <c r="L609" i="4"/>
  <c r="L641" i="4"/>
  <c r="L668" i="4"/>
  <c r="L695" i="4"/>
  <c r="L719" i="4"/>
  <c r="L739" i="4"/>
  <c r="L759" i="4"/>
  <c r="L159" i="4"/>
  <c r="L376" i="4"/>
  <c r="L403" i="4"/>
  <c r="L435" i="4"/>
  <c r="L461" i="4"/>
  <c r="L488" i="4"/>
  <c r="L520" i="4"/>
  <c r="L547" i="4"/>
  <c r="L573" i="4"/>
  <c r="L605" i="4"/>
  <c r="L632" i="4"/>
  <c r="L659" i="4"/>
  <c r="L691" i="4"/>
  <c r="L712" i="4"/>
  <c r="L732" i="4"/>
  <c r="L756" i="4"/>
  <c r="L162" i="4"/>
  <c r="L754" i="4"/>
  <c r="L706" i="4"/>
  <c r="L656" i="4"/>
  <c r="L603" i="4"/>
  <c r="L539" i="4"/>
  <c r="L485" i="4"/>
  <c r="L432" i="4"/>
  <c r="L368" i="4"/>
  <c r="D173" i="1"/>
  <c r="D159" i="1"/>
  <c r="D166" i="1"/>
  <c r="C132" i="1"/>
  <c r="C166" i="1"/>
  <c r="C145" i="1"/>
  <c r="AZ6" i="3"/>
  <c r="AX11" i="3"/>
  <c r="E10" i="10"/>
  <c r="G10" i="10"/>
  <c r="E9" i="10"/>
  <c r="G9" i="10"/>
  <c r="D16" i="10"/>
  <c r="C16" i="10"/>
  <c r="D27" i="4"/>
  <c r="G96" i="4"/>
  <c r="AH30" i="10" s="1"/>
  <c r="AI30" i="10" s="1"/>
  <c r="F94" i="4"/>
  <c r="BE39" i="3"/>
  <c r="BE41" i="3" s="1"/>
  <c r="BE42" i="3" s="1"/>
  <c r="D29" i="4"/>
  <c r="D60" i="4"/>
  <c r="C60" i="4"/>
  <c r="AY10" i="3"/>
  <c r="H56" i="4" s="1"/>
  <c r="H94" i="4"/>
  <c r="H95" i="4" s="1"/>
  <c r="G53" i="4"/>
  <c r="J90" i="2"/>
  <c r="J78" i="2" s="1"/>
  <c r="D30" i="4"/>
  <c r="B45" i="7"/>
  <c r="I99" i="4"/>
  <c r="C14" i="7"/>
  <c r="J8" i="10" s="1"/>
  <c r="AL125" i="2"/>
  <c r="C58" i="2"/>
  <c r="D119" i="1"/>
  <c r="T125" i="2"/>
  <c r="D26" i="4"/>
  <c r="AY8" i="3"/>
  <c r="AZ8" i="3"/>
  <c r="AY5" i="3"/>
  <c r="I13" i="7"/>
  <c r="AI116" i="2"/>
  <c r="AC116" i="2"/>
  <c r="W116" i="2"/>
  <c r="Z116" i="2"/>
  <c r="AF116" i="2"/>
  <c r="AX7" i="3"/>
  <c r="AZ7" i="3"/>
  <c r="AY7" i="3"/>
  <c r="AX10" i="3"/>
  <c r="B41" i="7"/>
  <c r="F15" i="3"/>
  <c r="B38" i="7"/>
  <c r="C38" i="7" s="1"/>
  <c r="B51" i="4"/>
  <c r="J7" i="3"/>
  <c r="J8" i="3" s="1"/>
  <c r="B39" i="7"/>
  <c r="BB2" i="10"/>
  <c r="BF7" i="10" s="1"/>
  <c r="BE62" i="3"/>
  <c r="BD62" i="3"/>
  <c r="BF62" i="3"/>
  <c r="D15" i="3"/>
  <c r="B16" i="3"/>
  <c r="E15" i="3"/>
  <c r="K13" i="7"/>
  <c r="Q6" i="7" s="1"/>
  <c r="K13" i="6" s="1"/>
  <c r="F13" i="6" s="1"/>
  <c r="K15" i="6"/>
  <c r="H13" i="7"/>
  <c r="L13" i="7"/>
  <c r="J13" i="7"/>
  <c r="P7" i="7" s="1"/>
  <c r="F13" i="7"/>
  <c r="AZ9" i="3"/>
  <c r="AX9" i="3"/>
  <c r="AY9" i="3"/>
  <c r="D13" i="7"/>
  <c r="G13" i="7"/>
  <c r="BG52" i="3"/>
  <c r="BG54" i="3" s="1"/>
  <c r="B3" i="8" s="1"/>
  <c r="B19" i="3"/>
  <c r="D11" i="2"/>
  <c r="E52" i="6" l="1"/>
  <c r="E22" i="6"/>
  <c r="AM48" i="10" s="1"/>
  <c r="Q25" i="2"/>
  <c r="BE33" i="3"/>
  <c r="BE34" i="3" s="1"/>
  <c r="AQ44" i="10"/>
  <c r="AQ43" i="10"/>
  <c r="AQ46" i="10"/>
  <c r="AP23" i="10"/>
  <c r="AO23" i="10"/>
  <c r="AP18" i="10"/>
  <c r="AO18" i="10"/>
  <c r="AO38" i="10"/>
  <c r="AP38" i="10"/>
  <c r="AP28" i="10"/>
  <c r="AO28" i="10"/>
  <c r="AP43" i="10"/>
  <c r="AO43" i="10"/>
  <c r="AP33" i="10"/>
  <c r="AO33" i="10"/>
  <c r="AO13" i="10"/>
  <c r="AP13" i="10"/>
  <c r="AP8" i="10"/>
  <c r="AO8" i="10"/>
  <c r="R610" i="3"/>
  <c r="R615" i="3"/>
  <c r="R614" i="3"/>
  <c r="R613" i="3"/>
  <c r="C11" i="8"/>
  <c r="B11" i="8" s="1"/>
  <c r="D11" i="8" s="1"/>
  <c r="AL109" i="2"/>
  <c r="B19" i="7"/>
  <c r="C19" i="7" s="1"/>
  <c r="G19" i="7" s="1"/>
  <c r="B29" i="7"/>
  <c r="C29" i="7" s="1"/>
  <c r="G29" i="7" s="1"/>
  <c r="AL108" i="2"/>
  <c r="W115" i="2"/>
  <c r="E15" i="6"/>
  <c r="H19" i="7"/>
  <c r="I19" i="7" s="1"/>
  <c r="B7" i="8"/>
  <c r="D7" i="8" s="1"/>
  <c r="G97" i="4"/>
  <c r="AI31" i="10"/>
  <c r="AK30" i="10"/>
  <c r="AK31" i="10" s="1"/>
  <c r="AF113" i="2"/>
  <c r="W113" i="2"/>
  <c r="AI113" i="2"/>
  <c r="AC113" i="2"/>
  <c r="AC115" i="2"/>
  <c r="Z113" i="2"/>
  <c r="Q114" i="2"/>
  <c r="AL107" i="2"/>
  <c r="AC114" i="2"/>
  <c r="W114" i="2"/>
  <c r="AI115" i="2"/>
  <c r="AF114" i="2"/>
  <c r="T114" i="2"/>
  <c r="AF115" i="2"/>
  <c r="AI114" i="2"/>
  <c r="K22" i="7"/>
  <c r="K35" i="7"/>
  <c r="K49" i="7"/>
  <c r="K46" i="7"/>
  <c r="K45" i="7"/>
  <c r="K47" i="7"/>
  <c r="K48" i="7"/>
  <c r="K56" i="7"/>
  <c r="K57" i="7"/>
  <c r="K58" i="7"/>
  <c r="K30" i="7"/>
  <c r="K36" i="7"/>
  <c r="K41" i="7"/>
  <c r="K42" i="7"/>
  <c r="K39" i="7"/>
  <c r="K43" i="7"/>
  <c r="K40" i="7"/>
  <c r="K38" i="7"/>
  <c r="K33" i="7"/>
  <c r="K63" i="7"/>
  <c r="K61" i="7"/>
  <c r="K60" i="7"/>
  <c r="K51" i="7"/>
  <c r="K52" i="7"/>
  <c r="K53" i="7"/>
  <c r="K54" i="7"/>
  <c r="K34" i="7"/>
  <c r="K32" i="7"/>
  <c r="K25" i="7"/>
  <c r="G16" i="10"/>
  <c r="N8" i="10" s="1"/>
  <c r="AJ31" i="10"/>
  <c r="AJ34" i="10" s="1"/>
  <c r="AB8" i="10"/>
  <c r="AJ30" i="10"/>
  <c r="AE8" i="10"/>
  <c r="E16" i="10"/>
  <c r="V8" i="10" s="1"/>
  <c r="T8" i="10"/>
  <c r="Y8" i="10"/>
  <c r="H20" i="7"/>
  <c r="I20" i="7" s="1"/>
  <c r="BE43" i="3"/>
  <c r="BE44" i="3" s="1"/>
  <c r="BE40" i="3"/>
  <c r="J85" i="2"/>
  <c r="J79" i="2"/>
  <c r="Q8" i="7"/>
  <c r="J75" i="2"/>
  <c r="H75" i="2" s="1"/>
  <c r="J77" i="2"/>
  <c r="J81" i="2"/>
  <c r="H81" i="2" s="1"/>
  <c r="J83" i="2"/>
  <c r="J74" i="2"/>
  <c r="H74" i="2" s="1"/>
  <c r="D34" i="4"/>
  <c r="J36" i="4" s="1"/>
  <c r="BE35" i="3"/>
  <c r="BE36" i="3" s="1"/>
  <c r="I7" i="3"/>
  <c r="M7" i="3" s="1"/>
  <c r="C39" i="7"/>
  <c r="C40" i="7" s="1"/>
  <c r="C41" i="7" s="1"/>
  <c r="W11" i="2"/>
  <c r="AL25" i="2"/>
  <c r="E174" i="1" s="1"/>
  <c r="AC25" i="2"/>
  <c r="E153" i="1" s="1"/>
  <c r="BE7" i="10"/>
  <c r="K11" i="10"/>
  <c r="J12" i="10"/>
  <c r="J14" i="10"/>
  <c r="J16" i="10"/>
  <c r="J18" i="10"/>
  <c r="J20" i="10"/>
  <c r="J22" i="10"/>
  <c r="J24" i="10"/>
  <c r="J26" i="10"/>
  <c r="J28" i="10"/>
  <c r="J30" i="10"/>
  <c r="J32" i="10"/>
  <c r="J34" i="10"/>
  <c r="J36" i="10"/>
  <c r="J38" i="10"/>
  <c r="J40" i="10"/>
  <c r="J42" i="10"/>
  <c r="J44" i="10"/>
  <c r="J46" i="10"/>
  <c r="J48" i="10"/>
  <c r="J50" i="10"/>
  <c r="J52" i="10"/>
  <c r="J54" i="10"/>
  <c r="J56" i="10"/>
  <c r="J58" i="10"/>
  <c r="J60" i="10"/>
  <c r="J62" i="10"/>
  <c r="J64" i="10"/>
  <c r="J66" i="10"/>
  <c r="J68" i="10"/>
  <c r="J70" i="10"/>
  <c r="J72" i="10"/>
  <c r="J74" i="10"/>
  <c r="J76" i="10"/>
  <c r="J78" i="10"/>
  <c r="J80" i="10"/>
  <c r="J82" i="10"/>
  <c r="J84" i="10"/>
  <c r="J86" i="10"/>
  <c r="J88" i="10"/>
  <c r="J90" i="10"/>
  <c r="J92" i="10"/>
  <c r="J94" i="10"/>
  <c r="J96" i="10"/>
  <c r="J98" i="10"/>
  <c r="J100" i="10"/>
  <c r="J102" i="10"/>
  <c r="J104" i="10"/>
  <c r="J106" i="10"/>
  <c r="J108" i="10"/>
  <c r="J110" i="10"/>
  <c r="J112" i="10"/>
  <c r="J114" i="10"/>
  <c r="J116" i="10"/>
  <c r="J118" i="10"/>
  <c r="J120" i="10"/>
  <c r="J122" i="10"/>
  <c r="J124" i="10"/>
  <c r="J126" i="10"/>
  <c r="J128" i="10"/>
  <c r="J130" i="10"/>
  <c r="J132" i="10"/>
  <c r="J134" i="10"/>
  <c r="J136" i="10"/>
  <c r="J138" i="10"/>
  <c r="J140" i="10"/>
  <c r="J142" i="10"/>
  <c r="J144" i="10"/>
  <c r="J146" i="10"/>
  <c r="J148" i="10"/>
  <c r="J150" i="10"/>
  <c r="J152" i="10"/>
  <c r="J154" i="10"/>
  <c r="J156" i="10"/>
  <c r="J158" i="10"/>
  <c r="J160" i="10"/>
  <c r="J162" i="10"/>
  <c r="J164" i="10"/>
  <c r="J166" i="10"/>
  <c r="J168" i="10"/>
  <c r="J170" i="10"/>
  <c r="J172" i="10"/>
  <c r="J174" i="10"/>
  <c r="J176" i="10"/>
  <c r="J11" i="10"/>
  <c r="K12" i="10"/>
  <c r="K14" i="10"/>
  <c r="K16" i="10"/>
  <c r="K18" i="10"/>
  <c r="K20" i="10"/>
  <c r="K22" i="10"/>
  <c r="K24" i="10"/>
  <c r="K26" i="10"/>
  <c r="K28" i="10"/>
  <c r="K30" i="10"/>
  <c r="K32" i="10"/>
  <c r="K34" i="10"/>
  <c r="K36" i="10"/>
  <c r="K38" i="10"/>
  <c r="K40" i="10"/>
  <c r="K42" i="10"/>
  <c r="K44" i="10"/>
  <c r="K46" i="10"/>
  <c r="K48" i="10"/>
  <c r="K50" i="10"/>
  <c r="K52" i="10"/>
  <c r="K54" i="10"/>
  <c r="K56" i="10"/>
  <c r="K58" i="10"/>
  <c r="K60" i="10"/>
  <c r="K62" i="10"/>
  <c r="K64" i="10"/>
  <c r="K66" i="10"/>
  <c r="K68" i="10"/>
  <c r="K70" i="10"/>
  <c r="K72" i="10"/>
  <c r="K74" i="10"/>
  <c r="K76" i="10"/>
  <c r="K78" i="10"/>
  <c r="K80" i="10"/>
  <c r="K82" i="10"/>
  <c r="K84" i="10"/>
  <c r="K86" i="10"/>
  <c r="K88" i="10"/>
  <c r="K90" i="10"/>
  <c r="K92" i="10"/>
  <c r="K94" i="10"/>
  <c r="K96" i="10"/>
  <c r="K98" i="10"/>
  <c r="K100" i="10"/>
  <c r="K102" i="10"/>
  <c r="K104" i="10"/>
  <c r="K106" i="10"/>
  <c r="K108" i="10"/>
  <c r="K110" i="10"/>
  <c r="K112" i="10"/>
  <c r="K114" i="10"/>
  <c r="K116" i="10"/>
  <c r="K118" i="10"/>
  <c r="K120" i="10"/>
  <c r="K122" i="10"/>
  <c r="K124" i="10"/>
  <c r="K126" i="10"/>
  <c r="K128" i="10"/>
  <c r="K130" i="10"/>
  <c r="K132" i="10"/>
  <c r="K134" i="10"/>
  <c r="K136" i="10"/>
  <c r="K138" i="10"/>
  <c r="K140" i="10"/>
  <c r="K142" i="10"/>
  <c r="K144" i="10"/>
  <c r="K146" i="10"/>
  <c r="K148" i="10"/>
  <c r="K150" i="10"/>
  <c r="K152" i="10"/>
  <c r="K154" i="10"/>
  <c r="K156" i="10"/>
  <c r="K158" i="10"/>
  <c r="K160" i="10"/>
  <c r="K162" i="10"/>
  <c r="K164" i="10"/>
  <c r="K166" i="10"/>
  <c r="K168" i="10"/>
  <c r="K170" i="10"/>
  <c r="K172" i="10"/>
  <c r="K174" i="10"/>
  <c r="K176" i="10"/>
  <c r="J10" i="10"/>
  <c r="J13" i="10"/>
  <c r="J15" i="10"/>
  <c r="J17" i="10"/>
  <c r="J19" i="10"/>
  <c r="J21" i="10"/>
  <c r="J23" i="10"/>
  <c r="AJ48" i="10" s="1"/>
  <c r="J25" i="10"/>
  <c r="J27" i="10"/>
  <c r="J29" i="10"/>
  <c r="J31" i="10"/>
  <c r="J33" i="10"/>
  <c r="J35" i="10"/>
  <c r="J37" i="10"/>
  <c r="J39" i="10"/>
  <c r="J41" i="10"/>
  <c r="J43" i="10"/>
  <c r="J45" i="10"/>
  <c r="J47" i="10"/>
  <c r="J49" i="10"/>
  <c r="J51" i="10"/>
  <c r="J53" i="10"/>
  <c r="J55" i="10"/>
  <c r="J57" i="10"/>
  <c r="J59" i="10"/>
  <c r="J61" i="10"/>
  <c r="J63" i="10"/>
  <c r="J65" i="10"/>
  <c r="J67" i="10"/>
  <c r="J69" i="10"/>
  <c r="J71" i="10"/>
  <c r="J73" i="10"/>
  <c r="J75" i="10"/>
  <c r="J77" i="10"/>
  <c r="J79" i="10"/>
  <c r="J81" i="10"/>
  <c r="J83" i="10"/>
  <c r="J85" i="10"/>
  <c r="J87" i="10"/>
  <c r="J89" i="10"/>
  <c r="J91" i="10"/>
  <c r="J93" i="10"/>
  <c r="J95" i="10"/>
  <c r="J97" i="10"/>
  <c r="J99" i="10"/>
  <c r="J101" i="10"/>
  <c r="J103" i="10"/>
  <c r="J105" i="10"/>
  <c r="J107" i="10"/>
  <c r="J109" i="10"/>
  <c r="J111" i="10"/>
  <c r="J113" i="10"/>
  <c r="J115" i="10"/>
  <c r="J117" i="10"/>
  <c r="J119" i="10"/>
  <c r="J121" i="10"/>
  <c r="J123" i="10"/>
  <c r="J125" i="10"/>
  <c r="J127" i="10"/>
  <c r="J129" i="10"/>
  <c r="J131" i="10"/>
  <c r="J133" i="10"/>
  <c r="J135" i="10"/>
  <c r="J137" i="10"/>
  <c r="J139" i="10"/>
  <c r="J141" i="10"/>
  <c r="J143" i="10"/>
  <c r="J145" i="10"/>
  <c r="J147" i="10"/>
  <c r="J149" i="10"/>
  <c r="J151" i="10"/>
  <c r="J153" i="10"/>
  <c r="J155" i="10"/>
  <c r="J157" i="10"/>
  <c r="J159" i="10"/>
  <c r="J161" i="10"/>
  <c r="J163" i="10"/>
  <c r="J165" i="10"/>
  <c r="J167" i="10"/>
  <c r="J169" i="10"/>
  <c r="J171" i="10"/>
  <c r="J173" i="10"/>
  <c r="K13" i="10"/>
  <c r="K21" i="10"/>
  <c r="K29" i="10"/>
  <c r="K37" i="10"/>
  <c r="K45" i="10"/>
  <c r="K53" i="10"/>
  <c r="K61" i="10"/>
  <c r="K69" i="10"/>
  <c r="K77" i="10"/>
  <c r="K85" i="10"/>
  <c r="K93" i="10"/>
  <c r="K101" i="10"/>
  <c r="K109" i="10"/>
  <c r="K117" i="10"/>
  <c r="K125" i="10"/>
  <c r="K133" i="10"/>
  <c r="K141" i="10"/>
  <c r="K149" i="10"/>
  <c r="K157" i="10"/>
  <c r="K165" i="10"/>
  <c r="K173" i="10"/>
  <c r="K177" i="10"/>
  <c r="K179" i="10"/>
  <c r="K181" i="10"/>
  <c r="K183" i="10"/>
  <c r="K185" i="10"/>
  <c r="K187" i="10"/>
  <c r="K189" i="10"/>
  <c r="K191" i="10"/>
  <c r="K193" i="10"/>
  <c r="K195" i="10"/>
  <c r="K197" i="10"/>
  <c r="K199" i="10"/>
  <c r="K201" i="10"/>
  <c r="K203" i="10"/>
  <c r="K205" i="10"/>
  <c r="K207" i="10"/>
  <c r="K209" i="10"/>
  <c r="K211" i="10"/>
  <c r="K213" i="10"/>
  <c r="K215" i="10"/>
  <c r="K217" i="10"/>
  <c r="K219" i="10"/>
  <c r="K221" i="10"/>
  <c r="K223" i="10"/>
  <c r="K225" i="10"/>
  <c r="K227" i="10"/>
  <c r="K229" i="10"/>
  <c r="K231" i="10"/>
  <c r="K233" i="10"/>
  <c r="K235" i="10"/>
  <c r="K237" i="10"/>
  <c r="K239" i="10"/>
  <c r="K241" i="10"/>
  <c r="K243" i="10"/>
  <c r="K245" i="10"/>
  <c r="K247" i="10"/>
  <c r="K249" i="10"/>
  <c r="K251" i="10"/>
  <c r="K253" i="10"/>
  <c r="K255" i="10"/>
  <c r="K257" i="10"/>
  <c r="K259" i="10"/>
  <c r="K261" i="10"/>
  <c r="K263" i="10"/>
  <c r="K265" i="10"/>
  <c r="K267" i="10"/>
  <c r="K269" i="10"/>
  <c r="K271" i="10"/>
  <c r="K273" i="10"/>
  <c r="K275" i="10"/>
  <c r="K277" i="10"/>
  <c r="K279" i="10"/>
  <c r="K281" i="10"/>
  <c r="K283" i="10"/>
  <c r="K285" i="10"/>
  <c r="K287" i="10"/>
  <c r="K289" i="10"/>
  <c r="K291" i="10"/>
  <c r="K293" i="10"/>
  <c r="K295" i="10"/>
  <c r="K297" i="10"/>
  <c r="K299" i="10"/>
  <c r="K301" i="10"/>
  <c r="K303" i="10"/>
  <c r="K305" i="10"/>
  <c r="K307" i="10"/>
  <c r="K309" i="10"/>
  <c r="K311" i="10"/>
  <c r="K313" i="10"/>
  <c r="K315" i="10"/>
  <c r="K317" i="10"/>
  <c r="K319" i="10"/>
  <c r="K321" i="10"/>
  <c r="K15" i="10"/>
  <c r="K23" i="10"/>
  <c r="K31" i="10"/>
  <c r="K39" i="10"/>
  <c r="K47" i="10"/>
  <c r="K55" i="10"/>
  <c r="K63" i="10"/>
  <c r="K71" i="10"/>
  <c r="K79" i="10"/>
  <c r="K87" i="10"/>
  <c r="K95" i="10"/>
  <c r="K103" i="10"/>
  <c r="K111" i="10"/>
  <c r="K119" i="10"/>
  <c r="K127" i="10"/>
  <c r="K135" i="10"/>
  <c r="K143" i="10"/>
  <c r="K151" i="10"/>
  <c r="K159" i="10"/>
  <c r="K167" i="10"/>
  <c r="J175" i="10"/>
  <c r="J178" i="10"/>
  <c r="J180" i="10"/>
  <c r="J182" i="10"/>
  <c r="J184" i="10"/>
  <c r="J186" i="10"/>
  <c r="J188" i="10"/>
  <c r="J190" i="10"/>
  <c r="J192" i="10"/>
  <c r="J194" i="10"/>
  <c r="J196" i="10"/>
  <c r="J198" i="10"/>
  <c r="J200" i="10"/>
  <c r="J202" i="10"/>
  <c r="J204" i="10"/>
  <c r="J206" i="10"/>
  <c r="J208" i="10"/>
  <c r="J210" i="10"/>
  <c r="J212" i="10"/>
  <c r="J214" i="10"/>
  <c r="J216" i="10"/>
  <c r="J218" i="10"/>
  <c r="J220" i="10"/>
  <c r="J222" i="10"/>
  <c r="J224" i="10"/>
  <c r="J226" i="10"/>
  <c r="J228" i="10"/>
  <c r="J230" i="10"/>
  <c r="J232" i="10"/>
  <c r="J234" i="10"/>
  <c r="J236" i="10"/>
  <c r="J238" i="10"/>
  <c r="J240" i="10"/>
  <c r="J242" i="10"/>
  <c r="J244" i="10"/>
  <c r="J246" i="10"/>
  <c r="J248" i="10"/>
  <c r="J250" i="10"/>
  <c r="J252" i="10"/>
  <c r="J254" i="10"/>
  <c r="J256" i="10"/>
  <c r="J258" i="10"/>
  <c r="J260" i="10"/>
  <c r="J262" i="10"/>
  <c r="J264" i="10"/>
  <c r="J266" i="10"/>
  <c r="J268" i="10"/>
  <c r="J270" i="10"/>
  <c r="J272" i="10"/>
  <c r="J274" i="10"/>
  <c r="J276" i="10"/>
  <c r="J278" i="10"/>
  <c r="J280" i="10"/>
  <c r="J282" i="10"/>
  <c r="J284" i="10"/>
  <c r="J286" i="10"/>
  <c r="J288" i="10"/>
  <c r="J290" i="10"/>
  <c r="J292" i="10"/>
  <c r="J294" i="10"/>
  <c r="J296" i="10"/>
  <c r="J298" i="10"/>
  <c r="J300" i="10"/>
  <c r="J302" i="10"/>
  <c r="J304" i="10"/>
  <c r="K17" i="10"/>
  <c r="K25" i="10"/>
  <c r="K33" i="10"/>
  <c r="K41" i="10"/>
  <c r="K49" i="10"/>
  <c r="K57" i="10"/>
  <c r="K65" i="10"/>
  <c r="K73" i="10"/>
  <c r="K81" i="10"/>
  <c r="K89" i="10"/>
  <c r="K97" i="10"/>
  <c r="K105" i="10"/>
  <c r="K113" i="10"/>
  <c r="K121" i="10"/>
  <c r="K129" i="10"/>
  <c r="K137" i="10"/>
  <c r="K145" i="10"/>
  <c r="K153" i="10"/>
  <c r="K161" i="10"/>
  <c r="K169" i="10"/>
  <c r="K175" i="10"/>
  <c r="K178" i="10"/>
  <c r="K180" i="10"/>
  <c r="K182" i="10"/>
  <c r="K184" i="10"/>
  <c r="K186" i="10"/>
  <c r="K188" i="10"/>
  <c r="K190" i="10"/>
  <c r="K192" i="10"/>
  <c r="K194" i="10"/>
  <c r="K196" i="10"/>
  <c r="K198" i="10"/>
  <c r="K200" i="10"/>
  <c r="K202" i="10"/>
  <c r="K204" i="10"/>
  <c r="K206" i="10"/>
  <c r="K208" i="10"/>
  <c r="K210" i="10"/>
  <c r="K212" i="10"/>
  <c r="K214" i="10"/>
  <c r="K216" i="10"/>
  <c r="K218" i="10"/>
  <c r="K220" i="10"/>
  <c r="K222" i="10"/>
  <c r="K224" i="10"/>
  <c r="K226" i="10"/>
  <c r="K228" i="10"/>
  <c r="K230" i="10"/>
  <c r="K232" i="10"/>
  <c r="K234" i="10"/>
  <c r="K236" i="10"/>
  <c r="K238" i="10"/>
  <c r="K240" i="10"/>
  <c r="K242" i="10"/>
  <c r="K244" i="10"/>
  <c r="K246" i="10"/>
  <c r="K248" i="10"/>
  <c r="K250" i="10"/>
  <c r="K252" i="10"/>
  <c r="K254" i="10"/>
  <c r="K256" i="10"/>
  <c r="K258" i="10"/>
  <c r="K260" i="10"/>
  <c r="K262" i="10"/>
  <c r="K264" i="10"/>
  <c r="K266" i="10"/>
  <c r="K268" i="10"/>
  <c r="K270" i="10"/>
  <c r="K272" i="10"/>
  <c r="K274" i="10"/>
  <c r="K276" i="10"/>
  <c r="K278" i="10"/>
  <c r="K280" i="10"/>
  <c r="K282" i="10"/>
  <c r="K284" i="10"/>
  <c r="K286" i="10"/>
  <c r="K288" i="10"/>
  <c r="K290" i="10"/>
  <c r="K292" i="10"/>
  <c r="K294" i="10"/>
  <c r="K296" i="10"/>
  <c r="K298" i="10"/>
  <c r="K300" i="10"/>
  <c r="K302" i="10"/>
  <c r="K27" i="10"/>
  <c r="K59" i="10"/>
  <c r="K91" i="10"/>
  <c r="K123" i="10"/>
  <c r="K155" i="10"/>
  <c r="J179" i="10"/>
  <c r="J187" i="10"/>
  <c r="J195" i="10"/>
  <c r="J203" i="10"/>
  <c r="J211" i="10"/>
  <c r="J219" i="10"/>
  <c r="J227" i="10"/>
  <c r="J235" i="10"/>
  <c r="J243" i="10"/>
  <c r="J251" i="10"/>
  <c r="J259" i="10"/>
  <c r="J267" i="10"/>
  <c r="J275" i="10"/>
  <c r="J283" i="10"/>
  <c r="J291" i="10"/>
  <c r="J299" i="10"/>
  <c r="J305" i="10"/>
  <c r="J308" i="10"/>
  <c r="K310" i="10"/>
  <c r="J313" i="10"/>
  <c r="J316" i="10"/>
  <c r="K318" i="10"/>
  <c r="J321" i="10"/>
  <c r="K323" i="10"/>
  <c r="K325" i="10"/>
  <c r="K327" i="10"/>
  <c r="K329" i="10"/>
  <c r="K331" i="10"/>
  <c r="K333" i="10"/>
  <c r="K335" i="10"/>
  <c r="K337" i="10"/>
  <c r="K339" i="10"/>
  <c r="K341" i="10"/>
  <c r="K343" i="10"/>
  <c r="K345" i="10"/>
  <c r="K347" i="10"/>
  <c r="K349" i="10"/>
  <c r="K351" i="10"/>
  <c r="K353" i="10"/>
  <c r="K355" i="10"/>
  <c r="K357" i="10"/>
  <c r="K359" i="10"/>
  <c r="K361" i="10"/>
  <c r="K363" i="10"/>
  <c r="K365" i="10"/>
  <c r="K367" i="10"/>
  <c r="K369" i="10"/>
  <c r="AW8" i="10"/>
  <c r="BC186" i="10" s="1"/>
  <c r="BC192" i="10" s="1"/>
  <c r="K35" i="10"/>
  <c r="K67" i="10"/>
  <c r="K99" i="10"/>
  <c r="K131" i="10"/>
  <c r="K163" i="10"/>
  <c r="J181" i="10"/>
  <c r="J189" i="10"/>
  <c r="J197" i="10"/>
  <c r="J205" i="10"/>
  <c r="J213" i="10"/>
  <c r="J221" i="10"/>
  <c r="J229" i="10"/>
  <c r="J237" i="10"/>
  <c r="J245" i="10"/>
  <c r="J253" i="10"/>
  <c r="J261" i="10"/>
  <c r="J269" i="10"/>
  <c r="J277" i="10"/>
  <c r="J285" i="10"/>
  <c r="J293" i="10"/>
  <c r="J301" i="10"/>
  <c r="J306" i="10"/>
  <c r="K308" i="10"/>
  <c r="J311" i="10"/>
  <c r="J314" i="10"/>
  <c r="K316" i="10"/>
  <c r="J319" i="10"/>
  <c r="J322" i="10"/>
  <c r="J324" i="10"/>
  <c r="J326" i="10"/>
  <c r="J328" i="10"/>
  <c r="J330" i="10"/>
  <c r="J332" i="10"/>
  <c r="J334" i="10"/>
  <c r="J336" i="10"/>
  <c r="J338" i="10"/>
  <c r="J340" i="10"/>
  <c r="J342" i="10"/>
  <c r="J344" i="10"/>
  <c r="J346" i="10"/>
  <c r="J348" i="10"/>
  <c r="J350" i="10"/>
  <c r="J352" i="10"/>
  <c r="J354" i="10"/>
  <c r="J356" i="10"/>
  <c r="J358" i="10"/>
  <c r="J360" i="10"/>
  <c r="J362" i="10"/>
  <c r="J364" i="10"/>
  <c r="J366" i="10"/>
  <c r="J368" i="10"/>
  <c r="J370" i="10"/>
  <c r="K43" i="10"/>
  <c r="K75" i="10"/>
  <c r="K107" i="10"/>
  <c r="K139" i="10"/>
  <c r="K171" i="10"/>
  <c r="J183" i="10"/>
  <c r="J191" i="10"/>
  <c r="J199" i="10"/>
  <c r="J207" i="10"/>
  <c r="J215" i="10"/>
  <c r="J223" i="10"/>
  <c r="J231" i="10"/>
  <c r="J239" i="10"/>
  <c r="J247" i="10"/>
  <c r="J255" i="10"/>
  <c r="J263" i="10"/>
  <c r="J271" i="10"/>
  <c r="J279" i="10"/>
  <c r="J287" i="10"/>
  <c r="J295" i="10"/>
  <c r="J303" i="10"/>
  <c r="K306" i="10"/>
  <c r="J309" i="10"/>
  <c r="J312" i="10"/>
  <c r="K314" i="10"/>
  <c r="J317" i="10"/>
  <c r="J320" i="10"/>
  <c r="K322" i="10"/>
  <c r="K324" i="10"/>
  <c r="K326" i="10"/>
  <c r="K328" i="10"/>
  <c r="K330" i="10"/>
  <c r="K332" i="10"/>
  <c r="K334" i="10"/>
  <c r="K336" i="10"/>
  <c r="K338" i="10"/>
  <c r="K340" i="10"/>
  <c r="K342" i="10"/>
  <c r="K344" i="10"/>
  <c r="K346" i="10"/>
  <c r="K348" i="10"/>
  <c r="K350" i="10"/>
  <c r="K352" i="10"/>
  <c r="K354" i="10"/>
  <c r="K356" i="10"/>
  <c r="K358" i="10"/>
  <c r="K360" i="10"/>
  <c r="K362" i="10"/>
  <c r="K364" i="10"/>
  <c r="K366" i="10"/>
  <c r="K368" i="10"/>
  <c r="K370" i="10"/>
  <c r="K83" i="10"/>
  <c r="J185" i="10"/>
  <c r="J217" i="10"/>
  <c r="J249" i="10"/>
  <c r="J281" i="10"/>
  <c r="J307" i="10"/>
  <c r="J318" i="10"/>
  <c r="J327" i="10"/>
  <c r="J335" i="10"/>
  <c r="J343" i="10"/>
  <c r="J351" i="10"/>
  <c r="J359" i="10"/>
  <c r="J367" i="10"/>
  <c r="J209" i="10"/>
  <c r="K115" i="10"/>
  <c r="J193" i="10"/>
  <c r="J225" i="10"/>
  <c r="J257" i="10"/>
  <c r="J289" i="10"/>
  <c r="J310" i="10"/>
  <c r="K320" i="10"/>
  <c r="J329" i="10"/>
  <c r="J337" i="10"/>
  <c r="J345" i="10"/>
  <c r="J353" i="10"/>
  <c r="J361" i="10"/>
  <c r="J369" i="10"/>
  <c r="J177" i="10"/>
  <c r="K19" i="10"/>
  <c r="K147" i="10"/>
  <c r="J201" i="10"/>
  <c r="J233" i="10"/>
  <c r="J265" i="10"/>
  <c r="J297" i="10"/>
  <c r="K312" i="10"/>
  <c r="J323" i="10"/>
  <c r="J331" i="10"/>
  <c r="J339" i="10"/>
  <c r="J347" i="10"/>
  <c r="J355" i="10"/>
  <c r="J363" i="10"/>
  <c r="K51" i="10"/>
  <c r="K304" i="10"/>
  <c r="J341" i="10"/>
  <c r="J365" i="10"/>
  <c r="J315" i="10"/>
  <c r="J349" i="10"/>
  <c r="J241" i="10"/>
  <c r="J325" i="10"/>
  <c r="J357" i="10"/>
  <c r="J273" i="10"/>
  <c r="J333" i="10"/>
  <c r="P8" i="7"/>
  <c r="AZ12" i="3"/>
  <c r="C3" i="8"/>
  <c r="D3" i="8"/>
  <c r="J9" i="3"/>
  <c r="I8" i="3"/>
  <c r="AY12" i="3"/>
  <c r="C25" i="7"/>
  <c r="G25" i="7" s="1"/>
  <c r="C22" i="7"/>
  <c r="G22" i="7" s="1"/>
  <c r="C28" i="7"/>
  <c r="G28" i="7" s="1"/>
  <c r="C20" i="7"/>
  <c r="G20" i="7" s="1"/>
  <c r="N65" i="7" s="1"/>
  <c r="O65" i="7" s="1"/>
  <c r="C26" i="7"/>
  <c r="G26" i="7" s="1"/>
  <c r="C27" i="7"/>
  <c r="G27" i="7" s="1"/>
  <c r="C24" i="7"/>
  <c r="G24" i="7" s="1"/>
  <c r="C23" i="7"/>
  <c r="G23" i="7" s="1"/>
  <c r="C21" i="7"/>
  <c r="G21" i="7" s="1"/>
  <c r="C189" i="1"/>
  <c r="B17" i="3"/>
  <c r="BD63" i="3"/>
  <c r="E11" i="2"/>
  <c r="F13" i="2" s="1"/>
  <c r="E13" i="2" s="1"/>
  <c r="G97" i="1" s="1"/>
  <c r="G99" i="1" s="1"/>
  <c r="G5" i="2"/>
  <c r="T11" i="2" l="1"/>
  <c r="AI25" i="2"/>
  <c r="E167" i="1" s="1"/>
  <c r="Z25" i="2"/>
  <c r="E146" i="1" s="1"/>
  <c r="AB17" i="3"/>
  <c r="AD16" i="3" s="1"/>
  <c r="AA16" i="3" s="1"/>
  <c r="Z16" i="3" s="1"/>
  <c r="AF25" i="2"/>
  <c r="E160" i="1" s="1"/>
  <c r="W25" i="2"/>
  <c r="E140" i="1" s="1"/>
  <c r="T25" i="2"/>
  <c r="E133" i="1" s="1"/>
  <c r="L28" i="6"/>
  <c r="Q32" i="12"/>
  <c r="J8" i="12"/>
  <c r="J4" i="12" s="1"/>
  <c r="C25" i="13"/>
  <c r="F38" i="6"/>
  <c r="AR43" i="10"/>
  <c r="AR47" i="10" s="1"/>
  <c r="AR46" i="10"/>
  <c r="AO48" i="10"/>
  <c r="AP48" i="10"/>
  <c r="H88" i="2"/>
  <c r="G88" i="2" s="1"/>
  <c r="R611" i="3"/>
  <c r="E126" i="1"/>
  <c r="AL111" i="2"/>
  <c r="Q112" i="2" s="1"/>
  <c r="Q118" i="2" s="1"/>
  <c r="AK33" i="10"/>
  <c r="AK37" i="10" s="1"/>
  <c r="AK40" i="10" s="1"/>
  <c r="AK36" i="10"/>
  <c r="AK39" i="10" s="1"/>
  <c r="L33" i="6"/>
  <c r="L38" i="6"/>
  <c r="N48" i="7"/>
  <c r="O48" i="7" s="1"/>
  <c r="N45" i="7"/>
  <c r="O45" i="7" s="1"/>
  <c r="H29" i="7"/>
  <c r="I29" i="7" s="1"/>
  <c r="C7" i="8"/>
  <c r="F28" i="6"/>
  <c r="F43" i="6"/>
  <c r="F33" i="6"/>
  <c r="D37" i="10"/>
  <c r="D43" i="10"/>
  <c r="D49" i="10"/>
  <c r="D55" i="10"/>
  <c r="D52" i="10"/>
  <c r="E37" i="10"/>
  <c r="E43" i="10"/>
  <c r="E49" i="10"/>
  <c r="E55" i="10"/>
  <c r="D46" i="10"/>
  <c r="E40" i="10"/>
  <c r="E46" i="10"/>
  <c r="E52" i="10"/>
  <c r="D34" i="10"/>
  <c r="D40" i="10"/>
  <c r="E34" i="10"/>
  <c r="Q8" i="10"/>
  <c r="Q250" i="10" s="1"/>
  <c r="O13" i="10"/>
  <c r="O15" i="10"/>
  <c r="O17" i="10"/>
  <c r="O19" i="10"/>
  <c r="O21" i="10"/>
  <c r="O23" i="10"/>
  <c r="O25" i="10"/>
  <c r="O27" i="10"/>
  <c r="O29" i="10"/>
  <c r="O31" i="10"/>
  <c r="O33" i="10"/>
  <c r="O35" i="10"/>
  <c r="O37" i="10"/>
  <c r="O39" i="10"/>
  <c r="O41" i="10"/>
  <c r="O43" i="10"/>
  <c r="O45" i="10"/>
  <c r="O47" i="10"/>
  <c r="O49" i="10"/>
  <c r="O51" i="10"/>
  <c r="O53" i="10"/>
  <c r="O55" i="10"/>
  <c r="O57" i="10"/>
  <c r="O59" i="10"/>
  <c r="O61" i="10"/>
  <c r="O63" i="10"/>
  <c r="O65" i="10"/>
  <c r="O67" i="10"/>
  <c r="O69" i="10"/>
  <c r="O71" i="10"/>
  <c r="O73" i="10"/>
  <c r="O75" i="10"/>
  <c r="O77" i="10"/>
  <c r="O79" i="10"/>
  <c r="O81" i="10"/>
  <c r="O83" i="10"/>
  <c r="O85" i="10"/>
  <c r="O87" i="10"/>
  <c r="O89" i="10"/>
  <c r="O91" i="10"/>
  <c r="O93" i="10"/>
  <c r="O95" i="10"/>
  <c r="O97" i="10"/>
  <c r="O99" i="10"/>
  <c r="O101" i="10"/>
  <c r="O103" i="10"/>
  <c r="O105" i="10"/>
  <c r="O107" i="10"/>
  <c r="O109" i="10"/>
  <c r="O111" i="10"/>
  <c r="O113" i="10"/>
  <c r="O115" i="10"/>
  <c r="O117" i="10"/>
  <c r="O119" i="10"/>
  <c r="O121" i="10"/>
  <c r="O123" i="10"/>
  <c r="O125" i="10"/>
  <c r="N12" i="10"/>
  <c r="N14" i="10"/>
  <c r="N16" i="10"/>
  <c r="N18" i="10"/>
  <c r="N20" i="10"/>
  <c r="N22" i="10"/>
  <c r="N24" i="10"/>
  <c r="N26" i="10"/>
  <c r="N28" i="10"/>
  <c r="N30" i="10"/>
  <c r="N32" i="10"/>
  <c r="N34" i="10"/>
  <c r="N36" i="10"/>
  <c r="N38" i="10"/>
  <c r="N40" i="10"/>
  <c r="N42" i="10"/>
  <c r="N44" i="10"/>
  <c r="N46" i="10"/>
  <c r="N48" i="10"/>
  <c r="N50" i="10"/>
  <c r="N52" i="10"/>
  <c r="N54" i="10"/>
  <c r="N56" i="10"/>
  <c r="N58" i="10"/>
  <c r="N60" i="10"/>
  <c r="N62" i="10"/>
  <c r="N64" i="10"/>
  <c r="N66" i="10"/>
  <c r="N68" i="10"/>
  <c r="N70" i="10"/>
  <c r="N72" i="10"/>
  <c r="N74" i="10"/>
  <c r="N76" i="10"/>
  <c r="N78" i="10"/>
  <c r="N80" i="10"/>
  <c r="N82" i="10"/>
  <c r="N84" i="10"/>
  <c r="N86" i="10"/>
  <c r="N88" i="10"/>
  <c r="N90" i="10"/>
  <c r="N92" i="10"/>
  <c r="N94" i="10"/>
  <c r="N96" i="10"/>
  <c r="N98" i="10"/>
  <c r="N100" i="10"/>
  <c r="N102" i="10"/>
  <c r="N104" i="10"/>
  <c r="N106" i="10"/>
  <c r="N108" i="10"/>
  <c r="N110" i="10"/>
  <c r="N112" i="10"/>
  <c r="N114" i="10"/>
  <c r="N116" i="10"/>
  <c r="N118" i="10"/>
  <c r="N13" i="10"/>
  <c r="N15" i="10"/>
  <c r="N17" i="10"/>
  <c r="N19" i="10"/>
  <c r="N21" i="10"/>
  <c r="N23" i="10"/>
  <c r="N25" i="10"/>
  <c r="N27" i="10"/>
  <c r="N29" i="10"/>
  <c r="N31" i="10"/>
  <c r="N33" i="10"/>
  <c r="N35" i="10"/>
  <c r="N37" i="10"/>
  <c r="N39" i="10"/>
  <c r="N41" i="10"/>
  <c r="N43" i="10"/>
  <c r="N45" i="10"/>
  <c r="N47" i="10"/>
  <c r="N49" i="10"/>
  <c r="N51" i="10"/>
  <c r="N53" i="10"/>
  <c r="N55" i="10"/>
  <c r="N57" i="10"/>
  <c r="N59" i="10"/>
  <c r="N61" i="10"/>
  <c r="N63" i="10"/>
  <c r="N65" i="10"/>
  <c r="N67" i="10"/>
  <c r="N69" i="10"/>
  <c r="N71" i="10"/>
  <c r="N73" i="10"/>
  <c r="N75" i="10"/>
  <c r="N77" i="10"/>
  <c r="N79" i="10"/>
  <c r="N81" i="10"/>
  <c r="N83" i="10"/>
  <c r="N85" i="10"/>
  <c r="N87" i="10"/>
  <c r="N89" i="10"/>
  <c r="N91" i="10"/>
  <c r="N93" i="10"/>
  <c r="N95" i="10"/>
  <c r="N97" i="10"/>
  <c r="N99" i="10"/>
  <c r="N101" i="10"/>
  <c r="N103" i="10"/>
  <c r="N105" i="10"/>
  <c r="N107" i="10"/>
  <c r="N109" i="10"/>
  <c r="N111" i="10"/>
  <c r="N113" i="10"/>
  <c r="N115" i="10"/>
  <c r="N117" i="10"/>
  <c r="N119" i="10"/>
  <c r="N121" i="10"/>
  <c r="N123" i="10"/>
  <c r="N125" i="10"/>
  <c r="N127" i="10"/>
  <c r="N129" i="10"/>
  <c r="N131" i="10"/>
  <c r="N133" i="10"/>
  <c r="N135" i="10"/>
  <c r="N137" i="10"/>
  <c r="N139" i="10"/>
  <c r="N141" i="10"/>
  <c r="N143" i="10"/>
  <c r="N145" i="10"/>
  <c r="N147" i="10"/>
  <c r="N149" i="10"/>
  <c r="N151" i="10"/>
  <c r="N153" i="10"/>
  <c r="N155" i="10"/>
  <c r="N157" i="10"/>
  <c r="N159" i="10"/>
  <c r="N161" i="10"/>
  <c r="N163" i="10"/>
  <c r="N165" i="10"/>
  <c r="N167" i="10"/>
  <c r="N169" i="10"/>
  <c r="N171" i="10"/>
  <c r="N173" i="10"/>
  <c r="N175" i="10"/>
  <c r="N177" i="10"/>
  <c r="N179" i="10"/>
  <c r="O18" i="10"/>
  <c r="O26" i="10"/>
  <c r="O34" i="10"/>
  <c r="O42" i="10"/>
  <c r="O50" i="10"/>
  <c r="O58" i="10"/>
  <c r="O66" i="10"/>
  <c r="O74" i="10"/>
  <c r="O82" i="10"/>
  <c r="O90" i="10"/>
  <c r="O98" i="10"/>
  <c r="O106" i="10"/>
  <c r="O114" i="10"/>
  <c r="O120" i="10"/>
  <c r="O124" i="10"/>
  <c r="N128" i="10"/>
  <c r="O130" i="10"/>
  <c r="O133" i="10"/>
  <c r="N136" i="10"/>
  <c r="O138" i="10"/>
  <c r="O141" i="10"/>
  <c r="N144" i="10"/>
  <c r="O146" i="10"/>
  <c r="O149" i="10"/>
  <c r="N152" i="10"/>
  <c r="O154" i="10"/>
  <c r="O157" i="10"/>
  <c r="N160" i="10"/>
  <c r="O162" i="10"/>
  <c r="O165" i="10"/>
  <c r="N168" i="10"/>
  <c r="O170" i="10"/>
  <c r="O173" i="10"/>
  <c r="N176" i="10"/>
  <c r="O178" i="10"/>
  <c r="N181" i="10"/>
  <c r="N183" i="10"/>
  <c r="N185" i="10"/>
  <c r="N187" i="10"/>
  <c r="N189" i="10"/>
  <c r="N191" i="10"/>
  <c r="N193" i="10"/>
  <c r="N195" i="10"/>
  <c r="N197" i="10"/>
  <c r="N199" i="10"/>
  <c r="N201" i="10"/>
  <c r="N203" i="10"/>
  <c r="N205" i="10"/>
  <c r="N207" i="10"/>
  <c r="N209" i="10"/>
  <c r="N211" i="10"/>
  <c r="N213" i="10"/>
  <c r="N215" i="10"/>
  <c r="N217" i="10"/>
  <c r="N219" i="10"/>
  <c r="N221" i="10"/>
  <c r="N223" i="10"/>
  <c r="N225" i="10"/>
  <c r="N227" i="10"/>
  <c r="N229" i="10"/>
  <c r="N231" i="10"/>
  <c r="N233" i="10"/>
  <c r="N235" i="10"/>
  <c r="N237" i="10"/>
  <c r="N239" i="10"/>
  <c r="N241" i="10"/>
  <c r="N243" i="10"/>
  <c r="N245" i="10"/>
  <c r="N247" i="10"/>
  <c r="N249" i="10"/>
  <c r="N251" i="10"/>
  <c r="N253" i="10"/>
  <c r="N255" i="10"/>
  <c r="N257" i="10"/>
  <c r="N259" i="10"/>
  <c r="N261" i="10"/>
  <c r="N263" i="10"/>
  <c r="N265" i="10"/>
  <c r="N267" i="10"/>
  <c r="N269" i="10"/>
  <c r="N271" i="10"/>
  <c r="N273" i="10"/>
  <c r="N275" i="10"/>
  <c r="N277" i="10"/>
  <c r="N279" i="10"/>
  <c r="O12" i="10"/>
  <c r="O20" i="10"/>
  <c r="O28" i="10"/>
  <c r="O36" i="10"/>
  <c r="O44" i="10"/>
  <c r="O52" i="10"/>
  <c r="O60" i="10"/>
  <c r="O68" i="10"/>
  <c r="O76" i="10"/>
  <c r="O84" i="10"/>
  <c r="O92" i="10"/>
  <c r="O100" i="10"/>
  <c r="O108" i="10"/>
  <c r="O116" i="10"/>
  <c r="N122" i="10"/>
  <c r="N126" i="10"/>
  <c r="O128" i="10"/>
  <c r="O131" i="10"/>
  <c r="N134" i="10"/>
  <c r="O136" i="10"/>
  <c r="O139" i="10"/>
  <c r="N142" i="10"/>
  <c r="O144" i="10"/>
  <c r="O147" i="10"/>
  <c r="N150" i="10"/>
  <c r="O152" i="10"/>
  <c r="O155" i="10"/>
  <c r="N158" i="10"/>
  <c r="O160" i="10"/>
  <c r="O163" i="10"/>
  <c r="N166" i="10"/>
  <c r="O168" i="10"/>
  <c r="O171" i="10"/>
  <c r="N174" i="10"/>
  <c r="O176" i="10"/>
  <c r="O179" i="10"/>
  <c r="O181" i="10"/>
  <c r="O183" i="10"/>
  <c r="O185" i="10"/>
  <c r="O187" i="10"/>
  <c r="O189" i="10"/>
  <c r="O191" i="10"/>
  <c r="O193" i="10"/>
  <c r="O195" i="10"/>
  <c r="O197" i="10"/>
  <c r="O199" i="10"/>
  <c r="O201" i="10"/>
  <c r="O203" i="10"/>
  <c r="O205" i="10"/>
  <c r="O207" i="10"/>
  <c r="O209" i="10"/>
  <c r="O211" i="10"/>
  <c r="O213" i="10"/>
  <c r="O215" i="10"/>
  <c r="O217" i="10"/>
  <c r="O219" i="10"/>
  <c r="O221" i="10"/>
  <c r="O223" i="10"/>
  <c r="O225" i="10"/>
  <c r="O227" i="10"/>
  <c r="O229" i="10"/>
  <c r="O231" i="10"/>
  <c r="O233" i="10"/>
  <c r="O235" i="10"/>
  <c r="O237" i="10"/>
  <c r="O239" i="10"/>
  <c r="O241" i="10"/>
  <c r="O243" i="10"/>
  <c r="O245" i="10"/>
  <c r="O247" i="10"/>
  <c r="O249" i="10"/>
  <c r="O251" i="10"/>
  <c r="O253" i="10"/>
  <c r="O255" i="10"/>
  <c r="O257" i="10"/>
  <c r="O259" i="10"/>
  <c r="O261" i="10"/>
  <c r="O263" i="10"/>
  <c r="O265" i="10"/>
  <c r="O267" i="10"/>
  <c r="O269" i="10"/>
  <c r="O271" i="10"/>
  <c r="O273" i="10"/>
  <c r="O275" i="10"/>
  <c r="O277" i="10"/>
  <c r="O16" i="10"/>
  <c r="O24" i="10"/>
  <c r="O32" i="10"/>
  <c r="O40" i="10"/>
  <c r="O48" i="10"/>
  <c r="O56" i="10"/>
  <c r="O64" i="10"/>
  <c r="O72" i="10"/>
  <c r="O80" i="10"/>
  <c r="O88" i="10"/>
  <c r="O96" i="10"/>
  <c r="O104" i="10"/>
  <c r="O112" i="10"/>
  <c r="N120" i="10"/>
  <c r="N124" i="10"/>
  <c r="O127" i="10"/>
  <c r="N130" i="10"/>
  <c r="O132" i="10"/>
  <c r="O135" i="10"/>
  <c r="N138" i="10"/>
  <c r="O140" i="10"/>
  <c r="O143" i="10"/>
  <c r="N146" i="10"/>
  <c r="O148" i="10"/>
  <c r="O151" i="10"/>
  <c r="N154" i="10"/>
  <c r="O156" i="10"/>
  <c r="O159" i="10"/>
  <c r="N162" i="10"/>
  <c r="O164" i="10"/>
  <c r="O167" i="10"/>
  <c r="N170" i="10"/>
  <c r="O172" i="10"/>
  <c r="O175" i="10"/>
  <c r="N178" i="10"/>
  <c r="O180" i="10"/>
  <c r="O182" i="10"/>
  <c r="O184" i="10"/>
  <c r="O186" i="10"/>
  <c r="O188" i="10"/>
  <c r="O190" i="10"/>
  <c r="O192" i="10"/>
  <c r="O194" i="10"/>
  <c r="O196" i="10"/>
  <c r="O198" i="10"/>
  <c r="O200" i="10"/>
  <c r="O202" i="10"/>
  <c r="O204" i="10"/>
  <c r="O206" i="10"/>
  <c r="O208" i="10"/>
  <c r="O210" i="10"/>
  <c r="O212" i="10"/>
  <c r="O214" i="10"/>
  <c r="O216" i="10"/>
  <c r="O218" i="10"/>
  <c r="O220" i="10"/>
  <c r="O222" i="10"/>
  <c r="O224" i="10"/>
  <c r="O226" i="10"/>
  <c r="O228" i="10"/>
  <c r="O230" i="10"/>
  <c r="O232" i="10"/>
  <c r="O234" i="10"/>
  <c r="O236" i="10"/>
  <c r="O238" i="10"/>
  <c r="O240" i="10"/>
  <c r="O242" i="10"/>
  <c r="O244" i="10"/>
  <c r="O246" i="10"/>
  <c r="O248" i="10"/>
  <c r="O250" i="10"/>
  <c r="O252" i="10"/>
  <c r="O254" i="10"/>
  <c r="O256" i="10"/>
  <c r="O258" i="10"/>
  <c r="O260" i="10"/>
  <c r="O262" i="10"/>
  <c r="O264" i="10"/>
  <c r="O266" i="10"/>
  <c r="O268" i="10"/>
  <c r="O270" i="10"/>
  <c r="O272" i="10"/>
  <c r="O274" i="10"/>
  <c r="O276" i="10"/>
  <c r="O278" i="10"/>
  <c r="O280" i="10"/>
  <c r="O282" i="10"/>
  <c r="O284" i="10"/>
  <c r="O286" i="10"/>
  <c r="O288" i="10"/>
  <c r="O290" i="10"/>
  <c r="O292" i="10"/>
  <c r="O294" i="10"/>
  <c r="O296" i="10"/>
  <c r="O298" i="10"/>
  <c r="O300" i="10"/>
  <c r="O302" i="10"/>
  <c r="O304" i="10"/>
  <c r="O306" i="10"/>
  <c r="O308" i="10"/>
  <c r="O310" i="10"/>
  <c r="O312" i="10"/>
  <c r="O314" i="10"/>
  <c r="O316" i="10"/>
  <c r="O318" i="10"/>
  <c r="O320" i="10"/>
  <c r="O322" i="10"/>
  <c r="O324" i="10"/>
  <c r="O326" i="10"/>
  <c r="O328" i="10"/>
  <c r="O330" i="10"/>
  <c r="O332" i="10"/>
  <c r="O334" i="10"/>
  <c r="O336" i="10"/>
  <c r="O338" i="10"/>
  <c r="O340" i="10"/>
  <c r="O342" i="10"/>
  <c r="O344" i="10"/>
  <c r="O346" i="10"/>
  <c r="O348" i="10"/>
  <c r="O350" i="10"/>
  <c r="O352" i="10"/>
  <c r="O354" i="10"/>
  <c r="O356" i="10"/>
  <c r="O358" i="10"/>
  <c r="O360" i="10"/>
  <c r="O362" i="10"/>
  <c r="O38" i="10"/>
  <c r="O70" i="10"/>
  <c r="O102" i="10"/>
  <c r="O126" i="10"/>
  <c r="O137" i="10"/>
  <c r="N148" i="10"/>
  <c r="O158" i="10"/>
  <c r="O169" i="10"/>
  <c r="N180" i="10"/>
  <c r="N188" i="10"/>
  <c r="N196" i="10"/>
  <c r="N204" i="10"/>
  <c r="N212" i="10"/>
  <c r="N220" i="10"/>
  <c r="N228" i="10"/>
  <c r="N236" i="10"/>
  <c r="N244" i="10"/>
  <c r="N252" i="10"/>
  <c r="N260" i="10"/>
  <c r="N268" i="10"/>
  <c r="N276" i="10"/>
  <c r="N281" i="10"/>
  <c r="O283" i="10"/>
  <c r="N286" i="10"/>
  <c r="N289" i="10"/>
  <c r="O291" i="10"/>
  <c r="N294" i="10"/>
  <c r="N297" i="10"/>
  <c r="O299" i="10"/>
  <c r="N302" i="10"/>
  <c r="N305" i="10"/>
  <c r="O307" i="10"/>
  <c r="N310" i="10"/>
  <c r="N313" i="10"/>
  <c r="O315" i="10"/>
  <c r="N318" i="10"/>
  <c r="N321" i="10"/>
  <c r="O323" i="10"/>
  <c r="N326" i="10"/>
  <c r="N329" i="10"/>
  <c r="O331" i="10"/>
  <c r="N334" i="10"/>
  <c r="N337" i="10"/>
  <c r="O339" i="10"/>
  <c r="N345" i="10"/>
  <c r="O347" i="10"/>
  <c r="N353" i="10"/>
  <c r="N358" i="10"/>
  <c r="O363" i="10"/>
  <c r="O365" i="10"/>
  <c r="O369" i="10"/>
  <c r="N216" i="10"/>
  <c r="N256" i="10"/>
  <c r="N272" i="10"/>
  <c r="N285" i="10"/>
  <c r="N290" i="10"/>
  <c r="O295" i="10"/>
  <c r="O303" i="10"/>
  <c r="O311" i="10"/>
  <c r="N314" i="10"/>
  <c r="N322" i="10"/>
  <c r="O327" i="10"/>
  <c r="O335" i="10"/>
  <c r="O343" i="10"/>
  <c r="N346" i="10"/>
  <c r="N354" i="10"/>
  <c r="N362" i="10"/>
  <c r="O366" i="10"/>
  <c r="O370" i="10"/>
  <c r="O14" i="10"/>
  <c r="O46" i="10"/>
  <c r="O78" i="10"/>
  <c r="O110" i="10"/>
  <c r="O129" i="10"/>
  <c r="N140" i="10"/>
  <c r="O150" i="10"/>
  <c r="O161" i="10"/>
  <c r="N172" i="10"/>
  <c r="N182" i="10"/>
  <c r="N190" i="10"/>
  <c r="N198" i="10"/>
  <c r="N206" i="10"/>
  <c r="N214" i="10"/>
  <c r="N222" i="10"/>
  <c r="N230" i="10"/>
  <c r="N238" i="10"/>
  <c r="N246" i="10"/>
  <c r="N254" i="10"/>
  <c r="N262" i="10"/>
  <c r="N270" i="10"/>
  <c r="N278" i="10"/>
  <c r="O281" i="10"/>
  <c r="N284" i="10"/>
  <c r="N287" i="10"/>
  <c r="O289" i="10"/>
  <c r="N292" i="10"/>
  <c r="N295" i="10"/>
  <c r="O297" i="10"/>
  <c r="N300" i="10"/>
  <c r="N303" i="10"/>
  <c r="O305" i="10"/>
  <c r="N308" i="10"/>
  <c r="N311" i="10"/>
  <c r="O313" i="10"/>
  <c r="N316" i="10"/>
  <c r="N319" i="10"/>
  <c r="O321" i="10"/>
  <c r="N324" i="10"/>
  <c r="N327" i="10"/>
  <c r="O329" i="10"/>
  <c r="N332" i="10"/>
  <c r="N335" i="10"/>
  <c r="O337" i="10"/>
  <c r="N340" i="10"/>
  <c r="N343" i="10"/>
  <c r="O345" i="10"/>
  <c r="N348" i="10"/>
  <c r="N351" i="10"/>
  <c r="O353" i="10"/>
  <c r="N356" i="10"/>
  <c r="N359" i="10"/>
  <c r="O361" i="10"/>
  <c r="N364" i="10"/>
  <c r="N366" i="10"/>
  <c r="N368" i="10"/>
  <c r="N370" i="10"/>
  <c r="O22" i="10"/>
  <c r="O54" i="10"/>
  <c r="O86" i="10"/>
  <c r="O118" i="10"/>
  <c r="N132" i="10"/>
  <c r="O142" i="10"/>
  <c r="N164" i="10"/>
  <c r="O174" i="10"/>
  <c r="N192" i="10"/>
  <c r="N208" i="10"/>
  <c r="N232" i="10"/>
  <c r="N248" i="10"/>
  <c r="O279" i="10"/>
  <c r="O287" i="10"/>
  <c r="N301" i="10"/>
  <c r="N309" i="10"/>
  <c r="O319" i="10"/>
  <c r="N330" i="10"/>
  <c r="N338" i="10"/>
  <c r="O351" i="10"/>
  <c r="O359" i="10"/>
  <c r="O368" i="10"/>
  <c r="O30" i="10"/>
  <c r="O62" i="10"/>
  <c r="O94" i="10"/>
  <c r="O122" i="10"/>
  <c r="O134" i="10"/>
  <c r="O145" i="10"/>
  <c r="N156" i="10"/>
  <c r="O166" i="10"/>
  <c r="O177" i="10"/>
  <c r="N186" i="10"/>
  <c r="N194" i="10"/>
  <c r="N202" i="10"/>
  <c r="N210" i="10"/>
  <c r="N218" i="10"/>
  <c r="N226" i="10"/>
  <c r="N234" i="10"/>
  <c r="N242" i="10"/>
  <c r="N250" i="10"/>
  <c r="N258" i="10"/>
  <c r="N266" i="10"/>
  <c r="N274" i="10"/>
  <c r="N280" i="10"/>
  <c r="N283" i="10"/>
  <c r="O285" i="10"/>
  <c r="N288" i="10"/>
  <c r="N291" i="10"/>
  <c r="O293" i="10"/>
  <c r="N296" i="10"/>
  <c r="N299" i="10"/>
  <c r="O301" i="10"/>
  <c r="N304" i="10"/>
  <c r="N307" i="10"/>
  <c r="O309" i="10"/>
  <c r="N312" i="10"/>
  <c r="N315" i="10"/>
  <c r="O317" i="10"/>
  <c r="N320" i="10"/>
  <c r="N323" i="10"/>
  <c r="O325" i="10"/>
  <c r="N328" i="10"/>
  <c r="N331" i="10"/>
  <c r="O333" i="10"/>
  <c r="N336" i="10"/>
  <c r="N339" i="10"/>
  <c r="O341" i="10"/>
  <c r="N344" i="10"/>
  <c r="N347" i="10"/>
  <c r="O349" i="10"/>
  <c r="N352" i="10"/>
  <c r="N355" i="10"/>
  <c r="O357" i="10"/>
  <c r="N360" i="10"/>
  <c r="N363" i="10"/>
  <c r="N365" i="10"/>
  <c r="N367" i="10"/>
  <c r="N369" i="10"/>
  <c r="O11" i="10"/>
  <c r="N10" i="10"/>
  <c r="N342" i="10"/>
  <c r="N350" i="10"/>
  <c r="O355" i="10"/>
  <c r="N361" i="10"/>
  <c r="O367" i="10"/>
  <c r="N11" i="10"/>
  <c r="O153" i="10"/>
  <c r="N184" i="10"/>
  <c r="N200" i="10"/>
  <c r="N224" i="10"/>
  <c r="N240" i="10"/>
  <c r="N264" i="10"/>
  <c r="N282" i="10"/>
  <c r="N293" i="10"/>
  <c r="N298" i="10"/>
  <c r="N306" i="10"/>
  <c r="N317" i="10"/>
  <c r="N325" i="10"/>
  <c r="N333" i="10"/>
  <c r="N341" i="10"/>
  <c r="N349" i="10"/>
  <c r="N357" i="10"/>
  <c r="O364" i="10"/>
  <c r="V13" i="10"/>
  <c r="V15" i="10"/>
  <c r="W16" i="10"/>
  <c r="Y16" i="10" s="1"/>
  <c r="W18" i="10"/>
  <c r="Y18" i="10" s="1"/>
  <c r="W20" i="10"/>
  <c r="Y20" i="10" s="1"/>
  <c r="W22" i="10"/>
  <c r="Y22" i="10" s="1"/>
  <c r="W24" i="10"/>
  <c r="Y24" i="10" s="1"/>
  <c r="W26" i="10"/>
  <c r="Y26" i="10" s="1"/>
  <c r="W28" i="10"/>
  <c r="Y28" i="10" s="1"/>
  <c r="W30" i="10"/>
  <c r="Y30" i="10" s="1"/>
  <c r="W32" i="10"/>
  <c r="Y32" i="10" s="1"/>
  <c r="W34" i="10"/>
  <c r="Y34" i="10" s="1"/>
  <c r="W36" i="10"/>
  <c r="Y36" i="10" s="1"/>
  <c r="W38" i="10"/>
  <c r="Y38" i="10" s="1"/>
  <c r="W40" i="10"/>
  <c r="Y40" i="10" s="1"/>
  <c r="W42" i="10"/>
  <c r="Y42" i="10" s="1"/>
  <c r="V44" i="10"/>
  <c r="V46" i="10"/>
  <c r="V48" i="10"/>
  <c r="V50" i="10"/>
  <c r="V52" i="10"/>
  <c r="V54" i="10"/>
  <c r="W57" i="10"/>
  <c r="Y57" i="10" s="1"/>
  <c r="W59" i="10"/>
  <c r="Y59" i="10" s="1"/>
  <c r="W61" i="10"/>
  <c r="Y61" i="10" s="1"/>
  <c r="W63" i="10"/>
  <c r="Y63" i="10" s="1"/>
  <c r="W65" i="10"/>
  <c r="Y65" i="10" s="1"/>
  <c r="W67" i="10"/>
  <c r="Y67" i="10" s="1"/>
  <c r="W69" i="10"/>
  <c r="Y69" i="10" s="1"/>
  <c r="W71" i="10"/>
  <c r="Y71" i="10" s="1"/>
  <c r="W73" i="10"/>
  <c r="Y73" i="10" s="1"/>
  <c r="W75" i="10"/>
  <c r="Y75" i="10" s="1"/>
  <c r="W77" i="10"/>
  <c r="Y77" i="10" s="1"/>
  <c r="W79" i="10"/>
  <c r="Y79" i="10" s="1"/>
  <c r="W81" i="10"/>
  <c r="Y81" i="10" s="1"/>
  <c r="W83" i="10"/>
  <c r="Y83" i="10" s="1"/>
  <c r="W85" i="10"/>
  <c r="Y85" i="10" s="1"/>
  <c r="W87" i="10"/>
  <c r="Y87" i="10" s="1"/>
  <c r="W89" i="10"/>
  <c r="Y89" i="10" s="1"/>
  <c r="W91" i="10"/>
  <c r="Y91" i="10" s="1"/>
  <c r="W93" i="10"/>
  <c r="Y93" i="10" s="1"/>
  <c r="W95" i="10"/>
  <c r="Y95" i="10" s="1"/>
  <c r="W97" i="10"/>
  <c r="Y97" i="10" s="1"/>
  <c r="W99" i="10"/>
  <c r="Y99" i="10" s="1"/>
  <c r="W101" i="10"/>
  <c r="Y101" i="10" s="1"/>
  <c r="W103" i="10"/>
  <c r="Y103" i="10" s="1"/>
  <c r="W105" i="10"/>
  <c r="Y105" i="10" s="1"/>
  <c r="W107" i="10"/>
  <c r="Y107" i="10" s="1"/>
  <c r="W109" i="10"/>
  <c r="Y109" i="10" s="1"/>
  <c r="W111" i="10"/>
  <c r="Y111" i="10" s="1"/>
  <c r="W113" i="10"/>
  <c r="Y113" i="10" s="1"/>
  <c r="W115" i="10"/>
  <c r="Y115" i="10" s="1"/>
  <c r="W117" i="10"/>
  <c r="Y117" i="10" s="1"/>
  <c r="W119" i="10"/>
  <c r="Y119" i="10" s="1"/>
  <c r="W121" i="10"/>
  <c r="Y121" i="10" s="1"/>
  <c r="W123" i="10"/>
  <c r="Y123" i="10" s="1"/>
  <c r="W125" i="10"/>
  <c r="Y125" i="10" s="1"/>
  <c r="W127" i="10"/>
  <c r="Y127" i="10" s="1"/>
  <c r="W129" i="10"/>
  <c r="Y129" i="10" s="1"/>
  <c r="W131" i="10"/>
  <c r="Y131" i="10" s="1"/>
  <c r="W133" i="10"/>
  <c r="Y133" i="10" s="1"/>
  <c r="W135" i="10"/>
  <c r="Y135" i="10" s="1"/>
  <c r="W137" i="10"/>
  <c r="Y137" i="10" s="1"/>
  <c r="W139" i="10"/>
  <c r="Y139" i="10" s="1"/>
  <c r="W141" i="10"/>
  <c r="Y141" i="10" s="1"/>
  <c r="W143" i="10"/>
  <c r="Y143" i="10" s="1"/>
  <c r="W145" i="10"/>
  <c r="Y145" i="10" s="1"/>
  <c r="W147" i="10"/>
  <c r="Y147" i="10" s="1"/>
  <c r="W149" i="10"/>
  <c r="Y149" i="10" s="1"/>
  <c r="W151" i="10"/>
  <c r="Y151" i="10" s="1"/>
  <c r="W153" i="10"/>
  <c r="Y153" i="10" s="1"/>
  <c r="W155" i="10"/>
  <c r="Y155" i="10" s="1"/>
  <c r="W157" i="10"/>
  <c r="Y157" i="10" s="1"/>
  <c r="W159" i="10"/>
  <c r="Y159" i="10" s="1"/>
  <c r="W161" i="10"/>
  <c r="Y161" i="10" s="1"/>
  <c r="W163" i="10"/>
  <c r="Y163" i="10" s="1"/>
  <c r="W165" i="10"/>
  <c r="Y165" i="10" s="1"/>
  <c r="W167" i="10"/>
  <c r="Y167" i="10" s="1"/>
  <c r="W169" i="10"/>
  <c r="Y169" i="10" s="1"/>
  <c r="W171" i="10"/>
  <c r="Y171" i="10" s="1"/>
  <c r="W173" i="10"/>
  <c r="Y173" i="10" s="1"/>
  <c r="W175" i="10"/>
  <c r="Y175" i="10" s="1"/>
  <c r="W177" i="10"/>
  <c r="Y177" i="10" s="1"/>
  <c r="W179" i="10"/>
  <c r="Y179" i="10" s="1"/>
  <c r="W10" i="10"/>
  <c r="Y10" i="10" s="1"/>
  <c r="W13" i="10"/>
  <c r="Y13" i="10" s="1"/>
  <c r="W15" i="10"/>
  <c r="Y15" i="10" s="1"/>
  <c r="V17" i="10"/>
  <c r="V19" i="10"/>
  <c r="V21" i="10"/>
  <c r="V23" i="10"/>
  <c r="V25" i="10"/>
  <c r="V27" i="10"/>
  <c r="V29" i="10"/>
  <c r="V31" i="10"/>
  <c r="V33" i="10"/>
  <c r="V35" i="10"/>
  <c r="V37" i="10"/>
  <c r="V39" i="10"/>
  <c r="V41" i="10"/>
  <c r="V43" i="10"/>
  <c r="W44" i="10"/>
  <c r="Y44" i="10" s="1"/>
  <c r="W46" i="10"/>
  <c r="Y46" i="10" s="1"/>
  <c r="W48" i="10"/>
  <c r="Y48" i="10" s="1"/>
  <c r="W50" i="10"/>
  <c r="Y50" i="10" s="1"/>
  <c r="W52" i="10"/>
  <c r="Y52" i="10" s="1"/>
  <c r="W54" i="10"/>
  <c r="Y54" i="10" s="1"/>
  <c r="V56" i="10"/>
  <c r="V58" i="10"/>
  <c r="V60" i="10"/>
  <c r="V62" i="10"/>
  <c r="V64" i="10"/>
  <c r="V66" i="10"/>
  <c r="V68" i="10"/>
  <c r="V70" i="10"/>
  <c r="V72" i="10"/>
  <c r="V74" i="10"/>
  <c r="V76" i="10"/>
  <c r="V78" i="10"/>
  <c r="V80" i="10"/>
  <c r="V82" i="10"/>
  <c r="V84" i="10"/>
  <c r="V86" i="10"/>
  <c r="V88" i="10"/>
  <c r="V90" i="10"/>
  <c r="V92" i="10"/>
  <c r="V94" i="10"/>
  <c r="V96" i="10"/>
  <c r="V98" i="10"/>
  <c r="V100" i="10"/>
  <c r="V102" i="10"/>
  <c r="V104" i="10"/>
  <c r="V106" i="10"/>
  <c r="V108" i="10"/>
  <c r="V110" i="10"/>
  <c r="V112" i="10"/>
  <c r="V114" i="10"/>
  <c r="V116" i="10"/>
  <c r="V118" i="10"/>
  <c r="V120" i="10"/>
  <c r="V122" i="10"/>
  <c r="V124" i="10"/>
  <c r="V126" i="10"/>
  <c r="V128" i="10"/>
  <c r="V130" i="10"/>
  <c r="V132" i="10"/>
  <c r="V134" i="10"/>
  <c r="V136" i="10"/>
  <c r="V138" i="10"/>
  <c r="V140" i="10"/>
  <c r="V142" i="10"/>
  <c r="V144" i="10"/>
  <c r="V146" i="10"/>
  <c r="V148" i="10"/>
  <c r="V150" i="10"/>
  <c r="V152" i="10"/>
  <c r="V154" i="10"/>
  <c r="V156" i="10"/>
  <c r="V158" i="10"/>
  <c r="V160" i="10"/>
  <c r="V162" i="10"/>
  <c r="V164" i="10"/>
  <c r="V166" i="10"/>
  <c r="V168" i="10"/>
  <c r="V170" i="10"/>
  <c r="V172" i="10"/>
  <c r="V174" i="10"/>
  <c r="V176" i="10"/>
  <c r="V178" i="10"/>
  <c r="W14" i="10"/>
  <c r="Y14" i="10" s="1"/>
  <c r="V18" i="10"/>
  <c r="V22" i="10"/>
  <c r="V26" i="10"/>
  <c r="V30" i="10"/>
  <c r="V34" i="10"/>
  <c r="V38" i="10"/>
  <c r="V42" i="10"/>
  <c r="W45" i="10"/>
  <c r="Y45" i="10" s="1"/>
  <c r="W49" i="10"/>
  <c r="Y49" i="10" s="1"/>
  <c r="W53" i="10"/>
  <c r="Y53" i="10" s="1"/>
  <c r="V57" i="10"/>
  <c r="V61" i="10"/>
  <c r="V65" i="10"/>
  <c r="V69" i="10"/>
  <c r="V73" i="10"/>
  <c r="V77" i="10"/>
  <c r="V81" i="10"/>
  <c r="V85" i="10"/>
  <c r="V89" i="10"/>
  <c r="V93" i="10"/>
  <c r="V97" i="10"/>
  <c r="V101" i="10"/>
  <c r="V105" i="10"/>
  <c r="V109" i="10"/>
  <c r="V113" i="10"/>
  <c r="V117" i="10"/>
  <c r="V121" i="10"/>
  <c r="V125" i="10"/>
  <c r="V129" i="10"/>
  <c r="V133" i="10"/>
  <c r="V137" i="10"/>
  <c r="V141" i="10"/>
  <c r="V145" i="10"/>
  <c r="V149" i="10"/>
  <c r="V153" i="10"/>
  <c r="V157" i="10"/>
  <c r="V161" i="10"/>
  <c r="V165" i="10"/>
  <c r="V169" i="10"/>
  <c r="V173" i="10"/>
  <c r="V177" i="10"/>
  <c r="W180" i="10"/>
  <c r="Y180" i="10" s="1"/>
  <c r="V182" i="10"/>
  <c r="V184" i="10"/>
  <c r="V186" i="10"/>
  <c r="V188" i="10"/>
  <c r="V190" i="10"/>
  <c r="V192" i="10"/>
  <c r="V194" i="10"/>
  <c r="V197" i="10"/>
  <c r="V200" i="10"/>
  <c r="V202" i="10"/>
  <c r="V204" i="10"/>
  <c r="V206" i="10"/>
  <c r="V208" i="10"/>
  <c r="V210" i="10"/>
  <c r="V212" i="10"/>
  <c r="V214" i="10"/>
  <c r="W215" i="10"/>
  <c r="Y215" i="10" s="1"/>
  <c r="W217" i="10"/>
  <c r="Y217" i="10" s="1"/>
  <c r="W219" i="10"/>
  <c r="Y219" i="10" s="1"/>
  <c r="W221" i="10"/>
  <c r="Y221" i="10" s="1"/>
  <c r="W223" i="10"/>
  <c r="Y223" i="10" s="1"/>
  <c r="W225" i="10"/>
  <c r="Y225" i="10" s="1"/>
  <c r="W227" i="10"/>
  <c r="Y227" i="10" s="1"/>
  <c r="W229" i="10"/>
  <c r="Y229" i="10" s="1"/>
  <c r="W231" i="10"/>
  <c r="Y231" i="10" s="1"/>
  <c r="W233" i="10"/>
  <c r="Y233" i="10" s="1"/>
  <c r="W235" i="10"/>
  <c r="Y235" i="10" s="1"/>
  <c r="W237" i="10"/>
  <c r="Y237" i="10" s="1"/>
  <c r="W239" i="10"/>
  <c r="Y239" i="10" s="1"/>
  <c r="W241" i="10"/>
  <c r="Y241" i="10" s="1"/>
  <c r="W243" i="10"/>
  <c r="Y243" i="10" s="1"/>
  <c r="W245" i="10"/>
  <c r="Y245" i="10" s="1"/>
  <c r="W247" i="10"/>
  <c r="Y247" i="10" s="1"/>
  <c r="W249" i="10"/>
  <c r="Y249" i="10" s="1"/>
  <c r="W251" i="10"/>
  <c r="Y251" i="10" s="1"/>
  <c r="W253" i="10"/>
  <c r="Y253" i="10" s="1"/>
  <c r="W255" i="10"/>
  <c r="Y255" i="10" s="1"/>
  <c r="W257" i="10"/>
  <c r="Y257" i="10" s="1"/>
  <c r="W259" i="10"/>
  <c r="Y259" i="10" s="1"/>
  <c r="W261" i="10"/>
  <c r="Y261" i="10" s="1"/>
  <c r="V12" i="10"/>
  <c r="W19" i="10"/>
  <c r="Y19" i="10" s="1"/>
  <c r="W23" i="10"/>
  <c r="Y23" i="10" s="1"/>
  <c r="W27" i="10"/>
  <c r="Y27" i="10" s="1"/>
  <c r="W31" i="10"/>
  <c r="Y31" i="10" s="1"/>
  <c r="W35" i="10"/>
  <c r="Y35" i="10" s="1"/>
  <c r="W39" i="10"/>
  <c r="Y39" i="10" s="1"/>
  <c r="W43" i="10"/>
  <c r="Y43" i="10" s="1"/>
  <c r="V47" i="10"/>
  <c r="V51" i="10"/>
  <c r="V55" i="10"/>
  <c r="W58" i="10"/>
  <c r="Y58" i="10" s="1"/>
  <c r="W62" i="10"/>
  <c r="Y62" i="10" s="1"/>
  <c r="W66" i="10"/>
  <c r="Y66" i="10" s="1"/>
  <c r="W70" i="10"/>
  <c r="Y70" i="10" s="1"/>
  <c r="W74" i="10"/>
  <c r="Y74" i="10" s="1"/>
  <c r="W78" i="10"/>
  <c r="Y78" i="10" s="1"/>
  <c r="W82" i="10"/>
  <c r="Y82" i="10" s="1"/>
  <c r="W86" i="10"/>
  <c r="Y86" i="10" s="1"/>
  <c r="W90" i="10"/>
  <c r="Y90" i="10" s="1"/>
  <c r="W94" i="10"/>
  <c r="Y94" i="10" s="1"/>
  <c r="W98" i="10"/>
  <c r="Y98" i="10" s="1"/>
  <c r="W102" i="10"/>
  <c r="Y102" i="10" s="1"/>
  <c r="W106" i="10"/>
  <c r="Y106" i="10" s="1"/>
  <c r="W110" i="10"/>
  <c r="Y110" i="10" s="1"/>
  <c r="W114" i="10"/>
  <c r="Y114" i="10" s="1"/>
  <c r="W118" i="10"/>
  <c r="Y118" i="10" s="1"/>
  <c r="W122" i="10"/>
  <c r="Y122" i="10" s="1"/>
  <c r="W126" i="10"/>
  <c r="Y126" i="10" s="1"/>
  <c r="W130" i="10"/>
  <c r="Y130" i="10" s="1"/>
  <c r="W134" i="10"/>
  <c r="Y134" i="10" s="1"/>
  <c r="W138" i="10"/>
  <c r="Y138" i="10" s="1"/>
  <c r="W142" i="10"/>
  <c r="Y142" i="10" s="1"/>
  <c r="W146" i="10"/>
  <c r="Y146" i="10" s="1"/>
  <c r="W150" i="10"/>
  <c r="Y150" i="10" s="1"/>
  <c r="W154" i="10"/>
  <c r="Y154" i="10" s="1"/>
  <c r="W158" i="10"/>
  <c r="Y158" i="10" s="1"/>
  <c r="W162" i="10"/>
  <c r="Y162" i="10" s="1"/>
  <c r="W166" i="10"/>
  <c r="Y166" i="10" s="1"/>
  <c r="W170" i="10"/>
  <c r="Y170" i="10" s="1"/>
  <c r="W174" i="10"/>
  <c r="Y174" i="10" s="1"/>
  <c r="W178" i="10"/>
  <c r="Y178" i="10" s="1"/>
  <c r="W182" i="10"/>
  <c r="Y182" i="10" s="1"/>
  <c r="W184" i="10"/>
  <c r="Y184" i="10" s="1"/>
  <c r="W186" i="10"/>
  <c r="Y186" i="10" s="1"/>
  <c r="W188" i="10"/>
  <c r="Y188" i="10" s="1"/>
  <c r="W190" i="10"/>
  <c r="Y190" i="10" s="1"/>
  <c r="W192" i="10"/>
  <c r="Y192" i="10" s="1"/>
  <c r="W194" i="10"/>
  <c r="Y194" i="10" s="1"/>
  <c r="V196" i="10"/>
  <c r="W197" i="10"/>
  <c r="Y197" i="10" s="1"/>
  <c r="V199" i="10"/>
  <c r="W200" i="10"/>
  <c r="Y200" i="10" s="1"/>
  <c r="W202" i="10"/>
  <c r="Y202" i="10" s="1"/>
  <c r="W204" i="10"/>
  <c r="Y204" i="10" s="1"/>
  <c r="W206" i="10"/>
  <c r="Y206" i="10" s="1"/>
  <c r="W208" i="10"/>
  <c r="Y208" i="10" s="1"/>
  <c r="W210" i="10"/>
  <c r="Y210" i="10" s="1"/>
  <c r="W212" i="10"/>
  <c r="Y212" i="10" s="1"/>
  <c r="W214" i="10"/>
  <c r="Y214" i="10" s="1"/>
  <c r="V216" i="10"/>
  <c r="V218" i="10"/>
  <c r="V220" i="10"/>
  <c r="V222" i="10"/>
  <c r="V224" i="10"/>
  <c r="V226" i="10"/>
  <c r="V228" i="10"/>
  <c r="V230" i="10"/>
  <c r="W17" i="10"/>
  <c r="Y17" i="10" s="1"/>
  <c r="W25" i="10"/>
  <c r="Y25" i="10" s="1"/>
  <c r="W33" i="10"/>
  <c r="Y33" i="10" s="1"/>
  <c r="W41" i="10"/>
  <c r="Y41" i="10" s="1"/>
  <c r="V49" i="10"/>
  <c r="W56" i="10"/>
  <c r="Y56" i="10" s="1"/>
  <c r="W64" i="10"/>
  <c r="Y64" i="10" s="1"/>
  <c r="W72" i="10"/>
  <c r="Y72" i="10" s="1"/>
  <c r="W80" i="10"/>
  <c r="Y80" i="10" s="1"/>
  <c r="W88" i="10"/>
  <c r="Y88" i="10" s="1"/>
  <c r="W96" i="10"/>
  <c r="Y96" i="10" s="1"/>
  <c r="W104" i="10"/>
  <c r="Y104" i="10" s="1"/>
  <c r="W112" i="10"/>
  <c r="Y112" i="10" s="1"/>
  <c r="W120" i="10"/>
  <c r="Y120" i="10" s="1"/>
  <c r="W128" i="10"/>
  <c r="Y128" i="10" s="1"/>
  <c r="W136" i="10"/>
  <c r="Y136" i="10" s="1"/>
  <c r="W144" i="10"/>
  <c r="Y144" i="10" s="1"/>
  <c r="W152" i="10"/>
  <c r="Y152" i="10" s="1"/>
  <c r="W160" i="10"/>
  <c r="Y160" i="10" s="1"/>
  <c r="W168" i="10"/>
  <c r="Y168" i="10" s="1"/>
  <c r="W176" i="10"/>
  <c r="Y176" i="10" s="1"/>
  <c r="W181" i="10"/>
  <c r="Y181" i="10" s="1"/>
  <c r="W185" i="10"/>
  <c r="Y185" i="10" s="1"/>
  <c r="W189" i="10"/>
  <c r="Y189" i="10" s="1"/>
  <c r="W193" i="10"/>
  <c r="Y193" i="10" s="1"/>
  <c r="W203" i="10"/>
  <c r="Y203" i="10" s="1"/>
  <c r="W207" i="10"/>
  <c r="Y207" i="10" s="1"/>
  <c r="W211" i="10"/>
  <c r="Y211" i="10" s="1"/>
  <c r="V215" i="10"/>
  <c r="V219" i="10"/>
  <c r="V223" i="10"/>
  <c r="V227" i="10"/>
  <c r="V231" i="10"/>
  <c r="V234" i="10"/>
  <c r="W236" i="10"/>
  <c r="Y236" i="10" s="1"/>
  <c r="V239" i="10"/>
  <c r="V242" i="10"/>
  <c r="W244" i="10"/>
  <c r="Y244" i="10" s="1"/>
  <c r="V247" i="10"/>
  <c r="V250" i="10"/>
  <c r="W252" i="10"/>
  <c r="Y252" i="10" s="1"/>
  <c r="V255" i="10"/>
  <c r="V258" i="10"/>
  <c r="W260" i="10"/>
  <c r="Y260" i="10" s="1"/>
  <c r="V263" i="10"/>
  <c r="V265" i="10"/>
  <c r="V267" i="10"/>
  <c r="V269" i="10"/>
  <c r="V271" i="10"/>
  <c r="V273" i="10"/>
  <c r="V275" i="10"/>
  <c r="W278" i="10"/>
  <c r="Y278" i="10" s="1"/>
  <c r="W280" i="10"/>
  <c r="Y280" i="10" s="1"/>
  <c r="V282" i="10"/>
  <c r="V284" i="10"/>
  <c r="V286" i="10"/>
  <c r="V288" i="10"/>
  <c r="W289" i="10"/>
  <c r="Y289" i="10" s="1"/>
  <c r="W291" i="10"/>
  <c r="Y291" i="10" s="1"/>
  <c r="W293" i="10"/>
  <c r="Y293" i="10" s="1"/>
  <c r="W295" i="10"/>
  <c r="Y295" i="10" s="1"/>
  <c r="W297" i="10"/>
  <c r="Y297" i="10" s="1"/>
  <c r="W299" i="10"/>
  <c r="Y299" i="10" s="1"/>
  <c r="W301" i="10"/>
  <c r="Y301" i="10" s="1"/>
  <c r="W303" i="10"/>
  <c r="Y303" i="10" s="1"/>
  <c r="W305" i="10"/>
  <c r="Y305" i="10" s="1"/>
  <c r="W307" i="10"/>
  <c r="Y307" i="10" s="1"/>
  <c r="W309" i="10"/>
  <c r="Y309" i="10" s="1"/>
  <c r="W311" i="10"/>
  <c r="Y311" i="10" s="1"/>
  <c r="W313" i="10"/>
  <c r="Y313" i="10" s="1"/>
  <c r="W315" i="10"/>
  <c r="Y315" i="10" s="1"/>
  <c r="W317" i="10"/>
  <c r="Y317" i="10" s="1"/>
  <c r="W319" i="10"/>
  <c r="Y319" i="10" s="1"/>
  <c r="W321" i="10"/>
  <c r="Y321" i="10" s="1"/>
  <c r="W323" i="10"/>
  <c r="Y323" i="10" s="1"/>
  <c r="W325" i="10"/>
  <c r="Y325" i="10" s="1"/>
  <c r="W327" i="10"/>
  <c r="Y327" i="10" s="1"/>
  <c r="W329" i="10"/>
  <c r="Y329" i="10" s="1"/>
  <c r="V331" i="10"/>
  <c r="V333" i="10"/>
  <c r="V335" i="10"/>
  <c r="V337" i="10"/>
  <c r="V339" i="10"/>
  <c r="V341" i="10"/>
  <c r="V343" i="10"/>
  <c r="V345" i="10"/>
  <c r="V347" i="10"/>
  <c r="V349" i="10"/>
  <c r="V351" i="10"/>
  <c r="V353" i="10"/>
  <c r="V355" i="10"/>
  <c r="V357" i="10"/>
  <c r="V359" i="10"/>
  <c r="V361" i="10"/>
  <c r="V363" i="10"/>
  <c r="V365" i="10"/>
  <c r="V367" i="10"/>
  <c r="V369" i="10"/>
  <c r="W11" i="10"/>
  <c r="Y11" i="10" s="1"/>
  <c r="W21" i="10"/>
  <c r="Y21" i="10" s="1"/>
  <c r="W29" i="10"/>
  <c r="Y29" i="10" s="1"/>
  <c r="V45" i="10"/>
  <c r="W60" i="10"/>
  <c r="Y60" i="10" s="1"/>
  <c r="W84" i="10"/>
  <c r="Y84" i="10" s="1"/>
  <c r="W100" i="10"/>
  <c r="Y100" i="10" s="1"/>
  <c r="W116" i="10"/>
  <c r="Y116" i="10" s="1"/>
  <c r="W132" i="10"/>
  <c r="Y132" i="10" s="1"/>
  <c r="W140" i="10"/>
  <c r="Y140" i="10" s="1"/>
  <c r="W156" i="10"/>
  <c r="Y156" i="10" s="1"/>
  <c r="W172" i="10"/>
  <c r="Y172" i="10" s="1"/>
  <c r="W183" i="10"/>
  <c r="Y183" i="10" s="1"/>
  <c r="W191" i="10"/>
  <c r="Y191" i="10" s="1"/>
  <c r="W198" i="10"/>
  <c r="Y198" i="10" s="1"/>
  <c r="W205" i="10"/>
  <c r="Y205" i="10" s="1"/>
  <c r="W213" i="10"/>
  <c r="Y213" i="10" s="1"/>
  <c r="V221" i="10"/>
  <c r="V229" i="10"/>
  <c r="V235" i="10"/>
  <c r="W240" i="10"/>
  <c r="Y240" i="10" s="1"/>
  <c r="V246" i="10"/>
  <c r="V251" i="10"/>
  <c r="W256" i="10"/>
  <c r="Y256" i="10" s="1"/>
  <c r="V262" i="10"/>
  <c r="V266" i="10"/>
  <c r="V270" i="10"/>
  <c r="V274" i="10"/>
  <c r="W277" i="10"/>
  <c r="Y277" i="10" s="1"/>
  <c r="W281" i="10"/>
  <c r="Y281" i="10" s="1"/>
  <c r="V285" i="10"/>
  <c r="W292" i="10"/>
  <c r="Y292" i="10" s="1"/>
  <c r="W296" i="10"/>
  <c r="Y296" i="10" s="1"/>
  <c r="W300" i="10"/>
  <c r="Y300" i="10" s="1"/>
  <c r="W304" i="10"/>
  <c r="Y304" i="10" s="1"/>
  <c r="W308" i="10"/>
  <c r="Y308" i="10" s="1"/>
  <c r="W312" i="10"/>
  <c r="Y312" i="10" s="1"/>
  <c r="W316" i="10"/>
  <c r="Y316" i="10" s="1"/>
  <c r="W320" i="10"/>
  <c r="Y320" i="10" s="1"/>
  <c r="W324" i="10"/>
  <c r="Y324" i="10" s="1"/>
  <c r="W328" i="10"/>
  <c r="Y328" i="10" s="1"/>
  <c r="V332" i="10"/>
  <c r="V336" i="10"/>
  <c r="V340" i="10"/>
  <c r="V344" i="10"/>
  <c r="V348" i="10"/>
  <c r="V352" i="10"/>
  <c r="V356" i="10"/>
  <c r="V360" i="10"/>
  <c r="V364" i="10"/>
  <c r="V368" i="10"/>
  <c r="V16" i="10"/>
  <c r="V32" i="10"/>
  <c r="W47" i="10"/>
  <c r="Y47" i="10" s="1"/>
  <c r="V63" i="10"/>
  <c r="V79" i="10"/>
  <c r="V95" i="10"/>
  <c r="V111" i="10"/>
  <c r="V127" i="10"/>
  <c r="V143" i="10"/>
  <c r="V159" i="10"/>
  <c r="V175" i="10"/>
  <c r="V185" i="10"/>
  <c r="V193" i="10"/>
  <c r="W199" i="10"/>
  <c r="Y199" i="10" s="1"/>
  <c r="V207" i="10"/>
  <c r="W222" i="10"/>
  <c r="Y222" i="10" s="1"/>
  <c r="W12" i="10"/>
  <c r="Y12" i="10" s="1"/>
  <c r="V20" i="10"/>
  <c r="V28" i="10"/>
  <c r="V36" i="10"/>
  <c r="W51" i="10"/>
  <c r="Y51" i="10" s="1"/>
  <c r="V59" i="10"/>
  <c r="V67" i="10"/>
  <c r="V75" i="10"/>
  <c r="V83" i="10"/>
  <c r="V91" i="10"/>
  <c r="V99" i="10"/>
  <c r="V107" i="10"/>
  <c r="V115" i="10"/>
  <c r="V123" i="10"/>
  <c r="V131" i="10"/>
  <c r="V139" i="10"/>
  <c r="V147" i="10"/>
  <c r="V155" i="10"/>
  <c r="V163" i="10"/>
  <c r="V171" i="10"/>
  <c r="V179" i="10"/>
  <c r="V183" i="10"/>
  <c r="V187" i="10"/>
  <c r="V191" i="10"/>
  <c r="V195" i="10"/>
  <c r="V198" i="10"/>
  <c r="V201" i="10"/>
  <c r="V205" i="10"/>
  <c r="V209" i="10"/>
  <c r="V213" i="10"/>
  <c r="W216" i="10"/>
  <c r="Y216" i="10" s="1"/>
  <c r="W220" i="10"/>
  <c r="Y220" i="10" s="1"/>
  <c r="W224" i="10"/>
  <c r="Y224" i="10" s="1"/>
  <c r="W228" i="10"/>
  <c r="Y228" i="10" s="1"/>
  <c r="V232" i="10"/>
  <c r="W234" i="10"/>
  <c r="Y234" i="10" s="1"/>
  <c r="V237" i="10"/>
  <c r="V240" i="10"/>
  <c r="W242" i="10"/>
  <c r="Y242" i="10" s="1"/>
  <c r="V245" i="10"/>
  <c r="V248" i="10"/>
  <c r="W250" i="10"/>
  <c r="Y250" i="10" s="1"/>
  <c r="V253" i="10"/>
  <c r="V256" i="10"/>
  <c r="W258" i="10"/>
  <c r="Y258" i="10" s="1"/>
  <c r="V261" i="10"/>
  <c r="W263" i="10"/>
  <c r="Y263" i="10" s="1"/>
  <c r="W265" i="10"/>
  <c r="Y265" i="10" s="1"/>
  <c r="W267" i="10"/>
  <c r="Y267" i="10" s="1"/>
  <c r="W269" i="10"/>
  <c r="Y269" i="10" s="1"/>
  <c r="W271" i="10"/>
  <c r="Y271" i="10" s="1"/>
  <c r="W273" i="10"/>
  <c r="Y273" i="10" s="1"/>
  <c r="W275" i="10"/>
  <c r="Y275" i="10" s="1"/>
  <c r="V277" i="10"/>
  <c r="V279" i="10"/>
  <c r="V281" i="10"/>
  <c r="W282" i="10"/>
  <c r="Y282" i="10" s="1"/>
  <c r="W284" i="10"/>
  <c r="Y284" i="10" s="1"/>
  <c r="W286" i="10"/>
  <c r="Y286" i="10" s="1"/>
  <c r="W288" i="10"/>
  <c r="Y288" i="10" s="1"/>
  <c r="V290" i="10"/>
  <c r="V292" i="10"/>
  <c r="V294" i="10"/>
  <c r="V296" i="10"/>
  <c r="V298" i="10"/>
  <c r="V300" i="10"/>
  <c r="V302" i="10"/>
  <c r="V304" i="10"/>
  <c r="V306" i="10"/>
  <c r="V308" i="10"/>
  <c r="V310" i="10"/>
  <c r="V312" i="10"/>
  <c r="V314" i="10"/>
  <c r="V316" i="10"/>
  <c r="V318" i="10"/>
  <c r="V320" i="10"/>
  <c r="V322" i="10"/>
  <c r="V324" i="10"/>
  <c r="V326" i="10"/>
  <c r="V328" i="10"/>
  <c r="W331" i="10"/>
  <c r="Y331" i="10" s="1"/>
  <c r="W333" i="10"/>
  <c r="Y333" i="10" s="1"/>
  <c r="W335" i="10"/>
  <c r="Y335" i="10" s="1"/>
  <c r="W337" i="10"/>
  <c r="Y337" i="10" s="1"/>
  <c r="W339" i="10"/>
  <c r="Y339" i="10" s="1"/>
  <c r="W341" i="10"/>
  <c r="Y341" i="10" s="1"/>
  <c r="W343" i="10"/>
  <c r="Y343" i="10" s="1"/>
  <c r="W345" i="10"/>
  <c r="Y345" i="10" s="1"/>
  <c r="W347" i="10"/>
  <c r="Y347" i="10" s="1"/>
  <c r="W349" i="10"/>
  <c r="Y349" i="10" s="1"/>
  <c r="W351" i="10"/>
  <c r="Y351" i="10" s="1"/>
  <c r="W353" i="10"/>
  <c r="Y353" i="10" s="1"/>
  <c r="W355" i="10"/>
  <c r="Y355" i="10" s="1"/>
  <c r="W357" i="10"/>
  <c r="Y357" i="10" s="1"/>
  <c r="W359" i="10"/>
  <c r="Y359" i="10" s="1"/>
  <c r="W361" i="10"/>
  <c r="Y361" i="10" s="1"/>
  <c r="W363" i="10"/>
  <c r="Y363" i="10" s="1"/>
  <c r="W365" i="10"/>
  <c r="Y365" i="10" s="1"/>
  <c r="W367" i="10"/>
  <c r="Y367" i="10" s="1"/>
  <c r="W369" i="10"/>
  <c r="Y369" i="10" s="1"/>
  <c r="V11" i="10"/>
  <c r="V14" i="10"/>
  <c r="W37" i="10"/>
  <c r="Y37" i="10" s="1"/>
  <c r="V53" i="10"/>
  <c r="W68" i="10"/>
  <c r="Y68" i="10" s="1"/>
  <c r="W76" i="10"/>
  <c r="Y76" i="10" s="1"/>
  <c r="W92" i="10"/>
  <c r="Y92" i="10" s="1"/>
  <c r="W108" i="10"/>
  <c r="Y108" i="10" s="1"/>
  <c r="W124" i="10"/>
  <c r="Y124" i="10" s="1"/>
  <c r="W148" i="10"/>
  <c r="Y148" i="10" s="1"/>
  <c r="W164" i="10"/>
  <c r="Y164" i="10" s="1"/>
  <c r="V180" i="10"/>
  <c r="W187" i="10"/>
  <c r="Y187" i="10" s="1"/>
  <c r="W195" i="10"/>
  <c r="Y195" i="10" s="1"/>
  <c r="W201" i="10"/>
  <c r="Y201" i="10" s="1"/>
  <c r="W209" i="10"/>
  <c r="Y209" i="10" s="1"/>
  <c r="V217" i="10"/>
  <c r="V225" i="10"/>
  <c r="W232" i="10"/>
  <c r="Y232" i="10" s="1"/>
  <c r="V238" i="10"/>
  <c r="V243" i="10"/>
  <c r="W248" i="10"/>
  <c r="Y248" i="10" s="1"/>
  <c r="V254" i="10"/>
  <c r="V259" i="10"/>
  <c r="V264" i="10"/>
  <c r="V268" i="10"/>
  <c r="V272" i="10"/>
  <c r="V276" i="10"/>
  <c r="W279" i="10"/>
  <c r="Y279" i="10" s="1"/>
  <c r="V283" i="10"/>
  <c r="V287" i="10"/>
  <c r="W290" i="10"/>
  <c r="Y290" i="10" s="1"/>
  <c r="W294" i="10"/>
  <c r="Y294" i="10" s="1"/>
  <c r="W298" i="10"/>
  <c r="Y298" i="10" s="1"/>
  <c r="W302" i="10"/>
  <c r="Y302" i="10" s="1"/>
  <c r="W306" i="10"/>
  <c r="Y306" i="10" s="1"/>
  <c r="W310" i="10"/>
  <c r="Y310" i="10" s="1"/>
  <c r="W314" i="10"/>
  <c r="Y314" i="10" s="1"/>
  <c r="W318" i="10"/>
  <c r="Y318" i="10" s="1"/>
  <c r="W322" i="10"/>
  <c r="Y322" i="10" s="1"/>
  <c r="W326" i="10"/>
  <c r="Y326" i="10" s="1"/>
  <c r="V330" i="10"/>
  <c r="V334" i="10"/>
  <c r="V338" i="10"/>
  <c r="V342" i="10"/>
  <c r="V346" i="10"/>
  <c r="V350" i="10"/>
  <c r="V354" i="10"/>
  <c r="V358" i="10"/>
  <c r="V362" i="10"/>
  <c r="V366" i="10"/>
  <c r="V370" i="10"/>
  <c r="V24" i="10"/>
  <c r="V40" i="10"/>
  <c r="W55" i="10"/>
  <c r="Y55" i="10" s="1"/>
  <c r="V71" i="10"/>
  <c r="V87" i="10"/>
  <c r="V103" i="10"/>
  <c r="V119" i="10"/>
  <c r="V135" i="10"/>
  <c r="V151" i="10"/>
  <c r="V167" i="10"/>
  <c r="V181" i="10"/>
  <c r="V189" i="10"/>
  <c r="W196" i="10"/>
  <c r="Y196" i="10" s="1"/>
  <c r="V203" i="10"/>
  <c r="V211" i="10"/>
  <c r="W218" i="10"/>
  <c r="Y218" i="10" s="1"/>
  <c r="V236" i="10"/>
  <c r="W246" i="10"/>
  <c r="Y246" i="10" s="1"/>
  <c r="V257" i="10"/>
  <c r="W266" i="10"/>
  <c r="Y266" i="10" s="1"/>
  <c r="W274" i="10"/>
  <c r="Y274" i="10" s="1"/>
  <c r="V289" i="10"/>
  <c r="V297" i="10"/>
  <c r="V305" i="10"/>
  <c r="V313" i="10"/>
  <c r="V321" i="10"/>
  <c r="V329" i="10"/>
  <c r="W336" i="10"/>
  <c r="Y336" i="10" s="1"/>
  <c r="W344" i="10"/>
  <c r="Y344" i="10" s="1"/>
  <c r="W352" i="10"/>
  <c r="Y352" i="10" s="1"/>
  <c r="W360" i="10"/>
  <c r="Y360" i="10" s="1"/>
  <c r="W368" i="10"/>
  <c r="Y368" i="10" s="1"/>
  <c r="W226" i="10"/>
  <c r="Y226" i="10" s="1"/>
  <c r="V249" i="10"/>
  <c r="W268" i="10"/>
  <c r="Y268" i="10" s="1"/>
  <c r="W283" i="10"/>
  <c r="Y283" i="10" s="1"/>
  <c r="V299" i="10"/>
  <c r="V315" i="10"/>
  <c r="W330" i="10"/>
  <c r="Y330" i="10" s="1"/>
  <c r="W346" i="10"/>
  <c r="Y346" i="10" s="1"/>
  <c r="W362" i="10"/>
  <c r="Y362" i="10" s="1"/>
  <c r="W230" i="10"/>
  <c r="Y230" i="10" s="1"/>
  <c r="V252" i="10"/>
  <c r="W270" i="10"/>
  <c r="Y270" i="10" s="1"/>
  <c r="W285" i="10"/>
  <c r="Y285" i="10" s="1"/>
  <c r="V301" i="10"/>
  <c r="V317" i="10"/>
  <c r="W332" i="10"/>
  <c r="Y332" i="10" s="1"/>
  <c r="W348" i="10"/>
  <c r="Y348" i="10" s="1"/>
  <c r="W364" i="10"/>
  <c r="Y364" i="10" s="1"/>
  <c r="V233" i="10"/>
  <c r="V244" i="10"/>
  <c r="W254" i="10"/>
  <c r="Y254" i="10" s="1"/>
  <c r="W264" i="10"/>
  <c r="Y264" i="10" s="1"/>
  <c r="W272" i="10"/>
  <c r="Y272" i="10" s="1"/>
  <c r="V280" i="10"/>
  <c r="W287" i="10"/>
  <c r="Y287" i="10" s="1"/>
  <c r="V295" i="10"/>
  <c r="V303" i="10"/>
  <c r="V311" i="10"/>
  <c r="V319" i="10"/>
  <c r="V327" i="10"/>
  <c r="W334" i="10"/>
  <c r="Y334" i="10" s="1"/>
  <c r="W342" i="10"/>
  <c r="Y342" i="10" s="1"/>
  <c r="W350" i="10"/>
  <c r="Y350" i="10" s="1"/>
  <c r="W358" i="10"/>
  <c r="Y358" i="10" s="1"/>
  <c r="W366" i="10"/>
  <c r="Y366" i="10" s="1"/>
  <c r="W238" i="10"/>
  <c r="Y238" i="10" s="1"/>
  <c r="V260" i="10"/>
  <c r="W276" i="10"/>
  <c r="Y276" i="10" s="1"/>
  <c r="V291" i="10"/>
  <c r="V307" i="10"/>
  <c r="V323" i="10"/>
  <c r="W338" i="10"/>
  <c r="Y338" i="10" s="1"/>
  <c r="W354" i="10"/>
  <c r="Y354" i="10" s="1"/>
  <c r="W370" i="10"/>
  <c r="Y370" i="10" s="1"/>
  <c r="V241" i="10"/>
  <c r="W262" i="10"/>
  <c r="Y262" i="10" s="1"/>
  <c r="V278" i="10"/>
  <c r="V293" i="10"/>
  <c r="V309" i="10"/>
  <c r="V325" i="10"/>
  <c r="W340" i="10"/>
  <c r="Y340" i="10" s="1"/>
  <c r="W356" i="10"/>
  <c r="Y356" i="10" s="1"/>
  <c r="AJ40" i="10"/>
  <c r="AJ43" i="10" s="1"/>
  <c r="AJ39" i="10"/>
  <c r="F25" i="6"/>
  <c r="AJ54" i="10"/>
  <c r="AJ55" i="10"/>
  <c r="AJ51" i="10"/>
  <c r="L7" i="3"/>
  <c r="L36" i="4"/>
  <c r="K36" i="4"/>
  <c r="BD192" i="10"/>
  <c r="BD189" i="10"/>
  <c r="BC189" i="10"/>
  <c r="AF19" i="10"/>
  <c r="AE361" i="10"/>
  <c r="AE340" i="10"/>
  <c r="AF318" i="10"/>
  <c r="AE297" i="10"/>
  <c r="AE276" i="10"/>
  <c r="AF251" i="10"/>
  <c r="AE223" i="10"/>
  <c r="AE186" i="10"/>
  <c r="AF137" i="10"/>
  <c r="AF62" i="10"/>
  <c r="AF364" i="10"/>
  <c r="AE343" i="10"/>
  <c r="AE322" i="10"/>
  <c r="AF300" i="10"/>
  <c r="AE279" i="10"/>
  <c r="AE256" i="10"/>
  <c r="AF227" i="10"/>
  <c r="AF191" i="10"/>
  <c r="AE146" i="10"/>
  <c r="AE76" i="10"/>
  <c r="AE15" i="10"/>
  <c r="AE23" i="10"/>
  <c r="AE31" i="10"/>
  <c r="AE39" i="10"/>
  <c r="AE47" i="10"/>
  <c r="AE55" i="10"/>
  <c r="AE63" i="10"/>
  <c r="AE71" i="10"/>
  <c r="AE79" i="10"/>
  <c r="AE87" i="10"/>
  <c r="AE95" i="10"/>
  <c r="AE103" i="10"/>
  <c r="AE111" i="10"/>
  <c r="AE119" i="10"/>
  <c r="AE127" i="10"/>
  <c r="AE135" i="10"/>
  <c r="AE143" i="10"/>
  <c r="AE151" i="10"/>
  <c r="AE159" i="10"/>
  <c r="AE167" i="10"/>
  <c r="AE175" i="10"/>
  <c r="AE16" i="10"/>
  <c r="AF26" i="10"/>
  <c r="AF37" i="10"/>
  <c r="AE48" i="10"/>
  <c r="AF58" i="10"/>
  <c r="AF69" i="10"/>
  <c r="AE80" i="10"/>
  <c r="AF90" i="10"/>
  <c r="AF101" i="10"/>
  <c r="AE112" i="10"/>
  <c r="AF122" i="10"/>
  <c r="AF133" i="10"/>
  <c r="AE144" i="10"/>
  <c r="AF154" i="10"/>
  <c r="AF165" i="10"/>
  <c r="AE176" i="10"/>
  <c r="AF184" i="10"/>
  <c r="AF192" i="10"/>
  <c r="AF200" i="10"/>
  <c r="AF208" i="10"/>
  <c r="AF216" i="10"/>
  <c r="AE14" i="10"/>
  <c r="AE28" i="10"/>
  <c r="AE42" i="10"/>
  <c r="AF56" i="10"/>
  <c r="AF70" i="10"/>
  <c r="AF84" i="10"/>
  <c r="AF99" i="10"/>
  <c r="AF113" i="10"/>
  <c r="AF127" i="10"/>
  <c r="AE142" i="10"/>
  <c r="AE156" i="10"/>
  <c r="AE170" i="10"/>
  <c r="AE183" i="10"/>
  <c r="AF193" i="10"/>
  <c r="AE204" i="10"/>
  <c r="AE215" i="10"/>
  <c r="AF224" i="10"/>
  <c r="AF232" i="10"/>
  <c r="AF240" i="10"/>
  <c r="AF248" i="10"/>
  <c r="AF256" i="10"/>
  <c r="AE12" i="10"/>
  <c r="AF30" i="10"/>
  <c r="AE50" i="10"/>
  <c r="AF68" i="10"/>
  <c r="AF87" i="10"/>
  <c r="AF107" i="10"/>
  <c r="AE126" i="10"/>
  <c r="AF144" i="10"/>
  <c r="AE164" i="10"/>
  <c r="AF181" i="10"/>
  <c r="AF195" i="10"/>
  <c r="AE210" i="10"/>
  <c r="AF223" i="10"/>
  <c r="AE234" i="10"/>
  <c r="AE245" i="10"/>
  <c r="AF255" i="10"/>
  <c r="AF265" i="10"/>
  <c r="AF273" i="10"/>
  <c r="AF281" i="10"/>
  <c r="AF289" i="10"/>
  <c r="AF297" i="10"/>
  <c r="AF305" i="10"/>
  <c r="AF313" i="10"/>
  <c r="AF321" i="10"/>
  <c r="AF329" i="10"/>
  <c r="AF337" i="10"/>
  <c r="AF345" i="10"/>
  <c r="AF353" i="10"/>
  <c r="AF361" i="10"/>
  <c r="AF369" i="10"/>
  <c r="AF27" i="10"/>
  <c r="AF46" i="10"/>
  <c r="AF65" i="10"/>
  <c r="AE84" i="10"/>
  <c r="AF103" i="10"/>
  <c r="AE122" i="10"/>
  <c r="AE30" i="10"/>
  <c r="AE68" i="10"/>
  <c r="AF105" i="10"/>
  <c r="AF140" i="10"/>
  <c r="AE166" i="10"/>
  <c r="AF187" i="10"/>
  <c r="AF207" i="10"/>
  <c r="AE225" i="10"/>
  <c r="AE239" i="10"/>
  <c r="AF253" i="10"/>
  <c r="AF266" i="10"/>
  <c r="AE277" i="10"/>
  <c r="AE288" i="10"/>
  <c r="AF298" i="10"/>
  <c r="AE309" i="10"/>
  <c r="AE320" i="10"/>
  <c r="AF330" i="10"/>
  <c r="AE341" i="10"/>
  <c r="AE352" i="10"/>
  <c r="AF362" i="10"/>
  <c r="AF14" i="10"/>
  <c r="AE52" i="10"/>
  <c r="AE90" i="10"/>
  <c r="AK23" i="10" s="1"/>
  <c r="AF128" i="10"/>
  <c r="AF155" i="10"/>
  <c r="AF179" i="10"/>
  <c r="AE198" i="10"/>
  <c r="AE218" i="10"/>
  <c r="AE233" i="10"/>
  <c r="AE247" i="10"/>
  <c r="AF261" i="10"/>
  <c r="AF272" i="10"/>
  <c r="AE283" i="10"/>
  <c r="AE294" i="10"/>
  <c r="AF304" i="10"/>
  <c r="AE315" i="10"/>
  <c r="AE326" i="10"/>
  <c r="AF336" i="10"/>
  <c r="AE347" i="10"/>
  <c r="AE358" i="10"/>
  <c r="AF368" i="10"/>
  <c r="AE362" i="10"/>
  <c r="AF340" i="10"/>
  <c r="AE319" i="10"/>
  <c r="AE298" i="10"/>
  <c r="AF276" i="10"/>
  <c r="AE252" i="10"/>
  <c r="AE224" i="10"/>
  <c r="AE187" i="10"/>
  <c r="AF139" i="10"/>
  <c r="AE66" i="10"/>
  <c r="AE364" i="10"/>
  <c r="AF342" i="10"/>
  <c r="AE321" i="10"/>
  <c r="AE300" i="10"/>
  <c r="AF278" i="10"/>
  <c r="AE255" i="10"/>
  <c r="AE227" i="10"/>
  <c r="AE190" i="10"/>
  <c r="AF143" i="10"/>
  <c r="AF72" i="10"/>
  <c r="AF366" i="10"/>
  <c r="AF302" i="10"/>
  <c r="AE230" i="10"/>
  <c r="AE82" i="10"/>
  <c r="AE327" i="10"/>
  <c r="AE263" i="10"/>
  <c r="AE158" i="10"/>
  <c r="AE21" i="10"/>
  <c r="AE45" i="10"/>
  <c r="AE61" i="10"/>
  <c r="AE85" i="10"/>
  <c r="AE109" i="10"/>
  <c r="AE356" i="10"/>
  <c r="AF334" i="10"/>
  <c r="AE313" i="10"/>
  <c r="AE292" i="10"/>
  <c r="AF270" i="10"/>
  <c r="AE244" i="10"/>
  <c r="AE214" i="10"/>
  <c r="AF175" i="10"/>
  <c r="AF119" i="10"/>
  <c r="AE44" i="10"/>
  <c r="AE359" i="10"/>
  <c r="AE338" i="10"/>
  <c r="AF316" i="10"/>
  <c r="AE295" i="10"/>
  <c r="AE274" i="10"/>
  <c r="AE249" i="10"/>
  <c r="AF219" i="10"/>
  <c r="AE182" i="10"/>
  <c r="AF132" i="10"/>
  <c r="AF57" i="10"/>
  <c r="AE17" i="10"/>
  <c r="AE25" i="10"/>
  <c r="AE33" i="10"/>
  <c r="AE41" i="10"/>
  <c r="AE49" i="10"/>
  <c r="AE57" i="10"/>
  <c r="AE65" i="10"/>
  <c r="AE73" i="10"/>
  <c r="AE81" i="10"/>
  <c r="AE89" i="10"/>
  <c r="AE97" i="10"/>
  <c r="AE105" i="10"/>
  <c r="AE113" i="10"/>
  <c r="AE121" i="10"/>
  <c r="AE129" i="10"/>
  <c r="AE137" i="10"/>
  <c r="AE145" i="10"/>
  <c r="AE153" i="10"/>
  <c r="AE161" i="10"/>
  <c r="AE169" i="10"/>
  <c r="AE177" i="10"/>
  <c r="AF18" i="10"/>
  <c r="AF29" i="10"/>
  <c r="AE40" i="10"/>
  <c r="AF50" i="10"/>
  <c r="AF61" i="10"/>
  <c r="AE72" i="10"/>
  <c r="AF82" i="10"/>
  <c r="AF93" i="10"/>
  <c r="AE104" i="10"/>
  <c r="AF114" i="10"/>
  <c r="AF125" i="10"/>
  <c r="AE136" i="10"/>
  <c r="AF146" i="10"/>
  <c r="AF157" i="10"/>
  <c r="AE168" i="10"/>
  <c r="AF178" i="10"/>
  <c r="AF186" i="10"/>
  <c r="AF194" i="10"/>
  <c r="AF202" i="10"/>
  <c r="AF210" i="10"/>
  <c r="AF218" i="10"/>
  <c r="AF17" i="10"/>
  <c r="AF31" i="10"/>
  <c r="AE46" i="10"/>
  <c r="AE60" i="10"/>
  <c r="AE74" i="10"/>
  <c r="AF88" i="10"/>
  <c r="AF102" i="10"/>
  <c r="AF116" i="10"/>
  <c r="AF131" i="10"/>
  <c r="AF145" i="10"/>
  <c r="AF159" i="10"/>
  <c r="AE174" i="10"/>
  <c r="AF185" i="10"/>
  <c r="AE196" i="10"/>
  <c r="AE207" i="10"/>
  <c r="AF217" i="10"/>
  <c r="AF226" i="10"/>
  <c r="AF234" i="10"/>
  <c r="AF242" i="10"/>
  <c r="AF250" i="10"/>
  <c r="AF258" i="10"/>
  <c r="AF16" i="10"/>
  <c r="AE36" i="10"/>
  <c r="AF54" i="10"/>
  <c r="AF73" i="10"/>
  <c r="AF92" i="10"/>
  <c r="AF111" i="10"/>
  <c r="AE130" i="10"/>
  <c r="AE150" i="10"/>
  <c r="AF168" i="10"/>
  <c r="AE185" i="10"/>
  <c r="AF199" i="10"/>
  <c r="AF213" i="10"/>
  <c r="AE226" i="10"/>
  <c r="AE237" i="10"/>
  <c r="AF247" i="10"/>
  <c r="AE258" i="10"/>
  <c r="AF267" i="10"/>
  <c r="AF275" i="10"/>
  <c r="AF283" i="10"/>
  <c r="AF291" i="10"/>
  <c r="AF299" i="10"/>
  <c r="AF307" i="10"/>
  <c r="AF315" i="10"/>
  <c r="AF323" i="10"/>
  <c r="AF331" i="10"/>
  <c r="AF339" i="10"/>
  <c r="AF347" i="10"/>
  <c r="AF355" i="10"/>
  <c r="AF363" i="10"/>
  <c r="AF12" i="10"/>
  <c r="AF32" i="10"/>
  <c r="AF51" i="10"/>
  <c r="AE70" i="10"/>
  <c r="AF89" i="10"/>
  <c r="AE108" i="10"/>
  <c r="AF126" i="10"/>
  <c r="AF39" i="10"/>
  <c r="AF76" i="10"/>
  <c r="AF115" i="10"/>
  <c r="AF147" i="10"/>
  <c r="AE172" i="10"/>
  <c r="AE193" i="10"/>
  <c r="AF211" i="10"/>
  <c r="AE228" i="10"/>
  <c r="AE243" i="10"/>
  <c r="AE257" i="10"/>
  <c r="AE269" i="10"/>
  <c r="AE280" i="10"/>
  <c r="AF290" i="10"/>
  <c r="AE301" i="10"/>
  <c r="AE312" i="10"/>
  <c r="AF322" i="10"/>
  <c r="AE333" i="10"/>
  <c r="AE344" i="10"/>
  <c r="AF354" i="10"/>
  <c r="AE365" i="10"/>
  <c r="AF23" i="10"/>
  <c r="AE62" i="10"/>
  <c r="AE100" i="10"/>
  <c r="AF136" i="10"/>
  <c r="AF161" i="10"/>
  <c r="AE184" i="10"/>
  <c r="AF203" i="10"/>
  <c r="AE222" i="10"/>
  <c r="AE236" i="10"/>
  <c r="AE251" i="10"/>
  <c r="AF264" i="10"/>
  <c r="AE275" i="10"/>
  <c r="AE286" i="10"/>
  <c r="AF296" i="10"/>
  <c r="AE307" i="10"/>
  <c r="AE318" i="10"/>
  <c r="AF328" i="10"/>
  <c r="AE339" i="10"/>
  <c r="AE350" i="10"/>
  <c r="AF360" i="10"/>
  <c r="AF10" i="10"/>
  <c r="AL23" i="10" s="1"/>
  <c r="AF356" i="10"/>
  <c r="AE335" i="10"/>
  <c r="AE314" i="10"/>
  <c r="AF292" i="10"/>
  <c r="AE271" i="10"/>
  <c r="AF245" i="10"/>
  <c r="AF215" i="10"/>
  <c r="AF176" i="10"/>
  <c r="AF123" i="10"/>
  <c r="AF47" i="10"/>
  <c r="AF358" i="10"/>
  <c r="AE337" i="10"/>
  <c r="AE316" i="10"/>
  <c r="AF294" i="10"/>
  <c r="AE273" i="10"/>
  <c r="AE248" i="10"/>
  <c r="AE219" i="10"/>
  <c r="AE181" i="10"/>
  <c r="AF129" i="10"/>
  <c r="AE54" i="10"/>
  <c r="AE324" i="10"/>
  <c r="AE259" i="10"/>
  <c r="AF150" i="10"/>
  <c r="AF348" i="10"/>
  <c r="AF284" i="10"/>
  <c r="AE201" i="10"/>
  <c r="AE13" i="10"/>
  <c r="AE37" i="10"/>
  <c r="AE69" i="10"/>
  <c r="AE93" i="10"/>
  <c r="AE117" i="10"/>
  <c r="AF350" i="10"/>
  <c r="AE329" i="10"/>
  <c r="AE308" i="10"/>
  <c r="AF286" i="10"/>
  <c r="AE265" i="10"/>
  <c r="AF237" i="10"/>
  <c r="AE205" i="10"/>
  <c r="AE162" i="10"/>
  <c r="AF100" i="10"/>
  <c r="AF25" i="10"/>
  <c r="AE354" i="10"/>
  <c r="AF332" i="10"/>
  <c r="AE311" i="10"/>
  <c r="AE290" i="10"/>
  <c r="AF268" i="10"/>
  <c r="AF241" i="10"/>
  <c r="AE211" i="10"/>
  <c r="AF171" i="10"/>
  <c r="AE114" i="10"/>
  <c r="AE38" i="10"/>
  <c r="AE19" i="10"/>
  <c r="AE27" i="10"/>
  <c r="AE35" i="10"/>
  <c r="AE43" i="10"/>
  <c r="AE51" i="10"/>
  <c r="AE59" i="10"/>
  <c r="AE67" i="10"/>
  <c r="AE75" i="10"/>
  <c r="AE83" i="10"/>
  <c r="AE91" i="10"/>
  <c r="AE99" i="10"/>
  <c r="AE107" i="10"/>
  <c r="AE115" i="10"/>
  <c r="AE123" i="10"/>
  <c r="AE131" i="10"/>
  <c r="AE139" i="10"/>
  <c r="AE147" i="10"/>
  <c r="AE155" i="10"/>
  <c r="AE163" i="10"/>
  <c r="AE171" i="10"/>
  <c r="AE11" i="10"/>
  <c r="AF21" i="10"/>
  <c r="AE32" i="10"/>
  <c r="AF42" i="10"/>
  <c r="AF53" i="10"/>
  <c r="AE64" i="10"/>
  <c r="AF74" i="10"/>
  <c r="AF85" i="10"/>
  <c r="AE96" i="10"/>
  <c r="AF106" i="10"/>
  <c r="AF117" i="10"/>
  <c r="AE128" i="10"/>
  <c r="AF138" i="10"/>
  <c r="AF149" i="10"/>
  <c r="AE160" i="10"/>
  <c r="AF170" i="10"/>
  <c r="AF180" i="10"/>
  <c r="AF188" i="10"/>
  <c r="AF196" i="10"/>
  <c r="AF204" i="10"/>
  <c r="AF212" i="10"/>
  <c r="AF220" i="10"/>
  <c r="AF20" i="10"/>
  <c r="AF35" i="10"/>
  <c r="AF49" i="10"/>
  <c r="AF63" i="10"/>
  <c r="AE78" i="10"/>
  <c r="AE92" i="10"/>
  <c r="AE106" i="10"/>
  <c r="AF120" i="10"/>
  <c r="AF134" i="10"/>
  <c r="AF148" i="10"/>
  <c r="AF163" i="10"/>
  <c r="AF177" i="10"/>
  <c r="AE188" i="10"/>
  <c r="AE199" i="10"/>
  <c r="AF209" i="10"/>
  <c r="AE220" i="10"/>
  <c r="AF228" i="10"/>
  <c r="AF236" i="10"/>
  <c r="AF244" i="10"/>
  <c r="AF252" i="10"/>
  <c r="AF260" i="10"/>
  <c r="AE22" i="10"/>
  <c r="AF40" i="10"/>
  <c r="AF59" i="10"/>
  <c r="AF78" i="10"/>
  <c r="AF97" i="10"/>
  <c r="AE116" i="10"/>
  <c r="AF135" i="10"/>
  <c r="AE154" i="10"/>
  <c r="AF172" i="10"/>
  <c r="AE189" i="10"/>
  <c r="AE203" i="10"/>
  <c r="AE217" i="10"/>
  <c r="AE229" i="10"/>
  <c r="AF239" i="10"/>
  <c r="AE250" i="10"/>
  <c r="AE261" i="10"/>
  <c r="AF269" i="10"/>
  <c r="AF277" i="10"/>
  <c r="AF285" i="10"/>
  <c r="AF293" i="10"/>
  <c r="AF301" i="10"/>
  <c r="AF309" i="10"/>
  <c r="AF317" i="10"/>
  <c r="AF325" i="10"/>
  <c r="AF333" i="10"/>
  <c r="AF341" i="10"/>
  <c r="AF349" i="10"/>
  <c r="AF357" i="10"/>
  <c r="AF365" i="10"/>
  <c r="AE18" i="10"/>
  <c r="AF36" i="10"/>
  <c r="AF55" i="10"/>
  <c r="AF75" i="10"/>
  <c r="AE94" i="10"/>
  <c r="AF112" i="10"/>
  <c r="AE132" i="10"/>
  <c r="AF48" i="10"/>
  <c r="AF86" i="10"/>
  <c r="AF124" i="10"/>
  <c r="AF153" i="10"/>
  <c r="AE179" i="10"/>
  <c r="AF197" i="10"/>
  <c r="AE216" i="10"/>
  <c r="AE232" i="10"/>
  <c r="AE246" i="10"/>
  <c r="AE260" i="10"/>
  <c r="AE272" i="10"/>
  <c r="AF282" i="10"/>
  <c r="AE293" i="10"/>
  <c r="AE304" i="10"/>
  <c r="AF314" i="10"/>
  <c r="AE325" i="10"/>
  <c r="AE336" i="10"/>
  <c r="AF346" i="10"/>
  <c r="AE357" i="10"/>
  <c r="AE368" i="10"/>
  <c r="AF33" i="10"/>
  <c r="AF71" i="10"/>
  <c r="AF108" i="10"/>
  <c r="AF142" i="10"/>
  <c r="AF167" i="10"/>
  <c r="AF189" i="10"/>
  <c r="AE208" i="10"/>
  <c r="AF225" i="10"/>
  <c r="AE240" i="10"/>
  <c r="AE254" i="10"/>
  <c r="AE267" i="10"/>
  <c r="AE278" i="10"/>
  <c r="AF288" i="10"/>
  <c r="AE299" i="10"/>
  <c r="AE310" i="10"/>
  <c r="AF320" i="10"/>
  <c r="AE331" i="10"/>
  <c r="AE342" i="10"/>
  <c r="AF352" i="10"/>
  <c r="AE363" i="10"/>
  <c r="AF15" i="10"/>
  <c r="AE351" i="10"/>
  <c r="AE330" i="10"/>
  <c r="AF308" i="10"/>
  <c r="AE287" i="10"/>
  <c r="AE266" i="10"/>
  <c r="AE238" i="10"/>
  <c r="AF205" i="10"/>
  <c r="AF164" i="10"/>
  <c r="AF104" i="10"/>
  <c r="AF28" i="10"/>
  <c r="AE353" i="10"/>
  <c r="AE332" i="10"/>
  <c r="AF310" i="10"/>
  <c r="AE289" i="10"/>
  <c r="AE268" i="10"/>
  <c r="AE241" i="10"/>
  <c r="AE209" i="10"/>
  <c r="AF169" i="10"/>
  <c r="AF110" i="10"/>
  <c r="AE34" i="10"/>
  <c r="AE345" i="10"/>
  <c r="AE281" i="10"/>
  <c r="AE195" i="10"/>
  <c r="AE370" i="10"/>
  <c r="AE306" i="10"/>
  <c r="AE235" i="10"/>
  <c r="AF94" i="10"/>
  <c r="AE29" i="10"/>
  <c r="AE53" i="10"/>
  <c r="AE77" i="10"/>
  <c r="AE101" i="10"/>
  <c r="AE125" i="10"/>
  <c r="AE157" i="10"/>
  <c r="AE24" i="10"/>
  <c r="AF66" i="10"/>
  <c r="AF109" i="10"/>
  <c r="AE152" i="10"/>
  <c r="AF190" i="10"/>
  <c r="AF11" i="10"/>
  <c r="AF67" i="10"/>
  <c r="AE124" i="10"/>
  <c r="AE180" i="10"/>
  <c r="AF222" i="10"/>
  <c r="AF254" i="10"/>
  <c r="AF64" i="10"/>
  <c r="AE140" i="10"/>
  <c r="AE206" i="10"/>
  <c r="AE253" i="10"/>
  <c r="AF287" i="10"/>
  <c r="AF319" i="10"/>
  <c r="AF351" i="10"/>
  <c r="AF41" i="10"/>
  <c r="AE118" i="10"/>
  <c r="AE134" i="10"/>
  <c r="AF221" i="10"/>
  <c r="AF274" i="10"/>
  <c r="AE317" i="10"/>
  <c r="AE360" i="10"/>
  <c r="AF118" i="10"/>
  <c r="AE213" i="10"/>
  <c r="AE270" i="10"/>
  <c r="AF312" i="10"/>
  <c r="AE355" i="10"/>
  <c r="AF324" i="10"/>
  <c r="AE231" i="10"/>
  <c r="AE369" i="10"/>
  <c r="AE284" i="10"/>
  <c r="AF156" i="10"/>
  <c r="AF13" i="10"/>
  <c r="AF141" i="10"/>
  <c r="AF214" i="10"/>
  <c r="AE110" i="10"/>
  <c r="AE212" i="10"/>
  <c r="AF121" i="10"/>
  <c r="AE242" i="10"/>
  <c r="AF311" i="10"/>
  <c r="AF22" i="10"/>
  <c r="AF96" i="10"/>
  <c r="AE264" i="10"/>
  <c r="AE349" i="10"/>
  <c r="AE194" i="10"/>
  <c r="AE302" i="10"/>
  <c r="AE346" i="10"/>
  <c r="AE86" i="10"/>
  <c r="AE200" i="10"/>
  <c r="AE133" i="10"/>
  <c r="AE165" i="10"/>
  <c r="AF34" i="10"/>
  <c r="AF77" i="10"/>
  <c r="AE120" i="10"/>
  <c r="AF162" i="10"/>
  <c r="AF198" i="10"/>
  <c r="AF24" i="10"/>
  <c r="AF81" i="10"/>
  <c r="AE138" i="10"/>
  <c r="AE191" i="10"/>
  <c r="AF230" i="10"/>
  <c r="AF262" i="10"/>
  <c r="AF83" i="10"/>
  <c r="AF158" i="10"/>
  <c r="AE221" i="10"/>
  <c r="AF263" i="10"/>
  <c r="AF295" i="10"/>
  <c r="AF327" i="10"/>
  <c r="AF359" i="10"/>
  <c r="AF60" i="10"/>
  <c r="AE20" i="10"/>
  <c r="AF160" i="10"/>
  <c r="AF235" i="10"/>
  <c r="AL17" i="10" s="1"/>
  <c r="AE285" i="10"/>
  <c r="AE328" i="10"/>
  <c r="AF370" i="10"/>
  <c r="AE148" i="10"/>
  <c r="AF229" i="10"/>
  <c r="AF280" i="10"/>
  <c r="AE323" i="10"/>
  <c r="AE366" i="10"/>
  <c r="AE303" i="10"/>
  <c r="AE197" i="10"/>
  <c r="AE348" i="10"/>
  <c r="AE262" i="10"/>
  <c r="AF91" i="10"/>
  <c r="AE141" i="10"/>
  <c r="AE173" i="10"/>
  <c r="AF45" i="10"/>
  <c r="AE88" i="10"/>
  <c r="AF130" i="10"/>
  <c r="AF173" i="10"/>
  <c r="AF206" i="10"/>
  <c r="AF38" i="10"/>
  <c r="AF95" i="10"/>
  <c r="AF152" i="10"/>
  <c r="AF201" i="10"/>
  <c r="AF238" i="10"/>
  <c r="AE26" i="10"/>
  <c r="AE102" i="10"/>
  <c r="AE178" i="10"/>
  <c r="AF231" i="10"/>
  <c r="AF271" i="10"/>
  <c r="AF303" i="10"/>
  <c r="AF335" i="10"/>
  <c r="AF367" i="10"/>
  <c r="AF79" i="10"/>
  <c r="AE58" i="10"/>
  <c r="AF183" i="10"/>
  <c r="AF249" i="10"/>
  <c r="AE296" i="10"/>
  <c r="AF338" i="10"/>
  <c r="AF43" i="10"/>
  <c r="AF174" i="10"/>
  <c r="AF243" i="10"/>
  <c r="AE291" i="10"/>
  <c r="AE334" i="10"/>
  <c r="AE367" i="10"/>
  <c r="AE282" i="10"/>
  <c r="AF151" i="10"/>
  <c r="AF326" i="10"/>
  <c r="AF233" i="10"/>
  <c r="AE149" i="10"/>
  <c r="AE56" i="10"/>
  <c r="AF98" i="10"/>
  <c r="AF182" i="10"/>
  <c r="AF52" i="10"/>
  <c r="AF166" i="10"/>
  <c r="AF246" i="10"/>
  <c r="AF44" i="10"/>
  <c r="AE192" i="10"/>
  <c r="AF279" i="10"/>
  <c r="AF343" i="10"/>
  <c r="AE98" i="10"/>
  <c r="AE202" i="10"/>
  <c r="AF306" i="10"/>
  <c r="AF80" i="10"/>
  <c r="AF257" i="10"/>
  <c r="AF344" i="10"/>
  <c r="AF259" i="10"/>
  <c r="AE305" i="10"/>
  <c r="AJ36" i="10"/>
  <c r="AJ33" i="10"/>
  <c r="AJ37" i="10"/>
  <c r="AJ42" i="10" s="1"/>
  <c r="AX64" i="10"/>
  <c r="AX343" i="10"/>
  <c r="BA343" i="10" s="1"/>
  <c r="AX160" i="10"/>
  <c r="AX359" i="10"/>
  <c r="BA359" i="10" s="1"/>
  <c r="AX351" i="10"/>
  <c r="BA351" i="10" s="1"/>
  <c r="AX357" i="10"/>
  <c r="BA357" i="10" s="1"/>
  <c r="AX325" i="10"/>
  <c r="AX256" i="10"/>
  <c r="AX11" i="10"/>
  <c r="BA11" i="10" s="1"/>
  <c r="AX339" i="10"/>
  <c r="AX304" i="10"/>
  <c r="AX184" i="10"/>
  <c r="AX369" i="10"/>
  <c r="BA369" i="10" s="1"/>
  <c r="AX337" i="10"/>
  <c r="AW302" i="10"/>
  <c r="AX175" i="10"/>
  <c r="AW17" i="10"/>
  <c r="AZ17" i="10" s="1"/>
  <c r="AW25" i="10"/>
  <c r="AZ25" i="10" s="1"/>
  <c r="AW33" i="10"/>
  <c r="AZ33" i="10" s="1"/>
  <c r="AW41" i="10"/>
  <c r="AW49" i="10"/>
  <c r="AW57" i="10"/>
  <c r="AW65" i="10"/>
  <c r="AW73" i="10"/>
  <c r="AW81" i="10"/>
  <c r="AW89" i="10"/>
  <c r="AW97" i="10"/>
  <c r="AW105" i="10"/>
  <c r="AW113" i="10"/>
  <c r="AW121" i="10"/>
  <c r="AW129" i="10"/>
  <c r="AW137" i="10"/>
  <c r="AW145" i="10"/>
  <c r="AW153" i="10"/>
  <c r="AW161" i="10"/>
  <c r="AW169" i="10"/>
  <c r="AW177" i="10"/>
  <c r="AX17" i="10"/>
  <c r="BA17" i="10" s="1"/>
  <c r="AX25" i="10"/>
  <c r="BA25" i="10" s="1"/>
  <c r="AX33" i="10"/>
  <c r="BA33" i="10" s="1"/>
  <c r="AX41" i="10"/>
  <c r="AX49" i="10"/>
  <c r="AX57" i="10"/>
  <c r="AX65" i="10"/>
  <c r="AX73" i="10"/>
  <c r="AX81" i="10"/>
  <c r="AX89" i="10"/>
  <c r="AX97" i="10"/>
  <c r="AX105" i="10"/>
  <c r="AX113" i="10"/>
  <c r="AX121" i="10"/>
  <c r="AX129" i="10"/>
  <c r="AX137" i="10"/>
  <c r="AX145" i="10"/>
  <c r="AX153" i="10"/>
  <c r="AX161" i="10"/>
  <c r="AW14" i="10"/>
  <c r="AZ14" i="10" s="1"/>
  <c r="AW22" i="10"/>
  <c r="AZ22" i="10" s="1"/>
  <c r="AW30" i="10"/>
  <c r="AZ30" i="10" s="1"/>
  <c r="AW38" i="10"/>
  <c r="AZ38" i="10" s="1"/>
  <c r="AW46" i="10"/>
  <c r="AW54" i="10"/>
  <c r="AW62" i="10"/>
  <c r="AW70" i="10"/>
  <c r="AW78" i="10"/>
  <c r="AW86" i="10"/>
  <c r="AW94" i="10"/>
  <c r="AW102" i="10"/>
  <c r="AW110" i="10"/>
  <c r="AW118" i="10"/>
  <c r="AW126" i="10"/>
  <c r="AW134" i="10"/>
  <c r="AW142" i="10"/>
  <c r="AW150" i="10"/>
  <c r="AW158" i="10"/>
  <c r="AW166" i="10"/>
  <c r="AX42" i="10"/>
  <c r="AX74" i="10"/>
  <c r="AX106" i="10"/>
  <c r="AX138" i="10"/>
  <c r="AW168" i="10"/>
  <c r="AX178" i="10"/>
  <c r="AW187" i="10"/>
  <c r="AW195" i="10"/>
  <c r="AW203" i="10"/>
  <c r="AW211" i="10"/>
  <c r="AW219" i="10"/>
  <c r="AW227" i="10"/>
  <c r="AW235" i="10"/>
  <c r="AW243" i="10"/>
  <c r="AW251" i="10"/>
  <c r="AW259" i="10"/>
  <c r="AW267" i="10"/>
  <c r="AW275" i="10"/>
  <c r="AW283" i="10"/>
  <c r="AW291" i="10"/>
  <c r="AW299" i="10"/>
  <c r="AW307" i="10"/>
  <c r="AW315" i="10"/>
  <c r="AX36" i="10"/>
  <c r="BA36" i="10" s="1"/>
  <c r="AX68" i="10"/>
  <c r="AX100" i="10"/>
  <c r="AX132" i="10"/>
  <c r="AX164" i="10"/>
  <c r="AX176" i="10"/>
  <c r="AX185" i="10"/>
  <c r="AX193" i="10"/>
  <c r="AX201" i="10"/>
  <c r="AX209" i="10"/>
  <c r="AX217" i="10"/>
  <c r="AX225" i="10"/>
  <c r="AX233" i="10"/>
  <c r="AX241" i="10"/>
  <c r="AX249" i="10"/>
  <c r="AX257" i="10"/>
  <c r="AX265" i="10"/>
  <c r="AX273" i="10"/>
  <c r="AX281" i="10"/>
  <c r="AX289" i="10"/>
  <c r="AX297" i="10"/>
  <c r="AX30" i="10"/>
  <c r="BA30" i="10" s="1"/>
  <c r="AX62" i="10"/>
  <c r="AX94" i="10"/>
  <c r="AX126" i="10"/>
  <c r="AX158" i="10"/>
  <c r="AX174" i="10"/>
  <c r="AW184" i="10"/>
  <c r="AX367" i="10"/>
  <c r="BA367" i="10" s="1"/>
  <c r="AW310" i="10"/>
  <c r="AX327" i="10"/>
  <c r="AX319" i="10"/>
  <c r="AX349" i="10"/>
  <c r="BA349" i="10" s="1"/>
  <c r="AX317" i="10"/>
  <c r="AX224" i="10"/>
  <c r="AX363" i="10"/>
  <c r="BA363" i="10" s="1"/>
  <c r="AX331" i="10"/>
  <c r="AX280" i="10"/>
  <c r="AX96" i="10"/>
  <c r="AX361" i="10"/>
  <c r="BA361" i="10" s="1"/>
  <c r="AX329" i="10"/>
  <c r="AX272" i="10"/>
  <c r="AW19" i="10"/>
  <c r="AZ19" i="10" s="1"/>
  <c r="AW27" i="10"/>
  <c r="AZ27" i="10" s="1"/>
  <c r="AW35" i="10"/>
  <c r="AZ35" i="10" s="1"/>
  <c r="AW43" i="10"/>
  <c r="AW51" i="10"/>
  <c r="AW59" i="10"/>
  <c r="AW67" i="10"/>
  <c r="AW75" i="10"/>
  <c r="AW83" i="10"/>
  <c r="AW91" i="10"/>
  <c r="AW99" i="10"/>
  <c r="AW107" i="10"/>
  <c r="AW115" i="10"/>
  <c r="AW123" i="10"/>
  <c r="AW131" i="10"/>
  <c r="AW139" i="10"/>
  <c r="AW147" i="10"/>
  <c r="AW155" i="10"/>
  <c r="AW163" i="10"/>
  <c r="AW171" i="10"/>
  <c r="AW179" i="10"/>
  <c r="AX19" i="10"/>
  <c r="BA19" i="10" s="1"/>
  <c r="AX27" i="10"/>
  <c r="BA27" i="10" s="1"/>
  <c r="AX35" i="10"/>
  <c r="BA35" i="10" s="1"/>
  <c r="AX43" i="10"/>
  <c r="AX51" i="10"/>
  <c r="AX59" i="10"/>
  <c r="AX67" i="10"/>
  <c r="AX75" i="10"/>
  <c r="AX83" i="10"/>
  <c r="AX91" i="10"/>
  <c r="AX99" i="10"/>
  <c r="AX107" i="10"/>
  <c r="AX115" i="10"/>
  <c r="AX123" i="10"/>
  <c r="AX131" i="10"/>
  <c r="AX139" i="10"/>
  <c r="AX147" i="10"/>
  <c r="AX155" i="10"/>
  <c r="AX163" i="10"/>
  <c r="AW16" i="10"/>
  <c r="AZ16" i="10" s="1"/>
  <c r="AW24" i="10"/>
  <c r="AZ24" i="10" s="1"/>
  <c r="AW32" i="10"/>
  <c r="AZ32" i="10" s="1"/>
  <c r="AW40" i="10"/>
  <c r="AZ40" i="10" s="1"/>
  <c r="AW48" i="10"/>
  <c r="AW56" i="10"/>
  <c r="AW64" i="10"/>
  <c r="AW72" i="10"/>
  <c r="AW80" i="10"/>
  <c r="AW88" i="10"/>
  <c r="AW96" i="10"/>
  <c r="AW104" i="10"/>
  <c r="AW112" i="10"/>
  <c r="AW120" i="10"/>
  <c r="AW128" i="10"/>
  <c r="AW136" i="10"/>
  <c r="AW144" i="10"/>
  <c r="AW152" i="10"/>
  <c r="AW160" i="10"/>
  <c r="AX18" i="10"/>
  <c r="BA18" i="10" s="1"/>
  <c r="AX50" i="10"/>
  <c r="AX82" i="10"/>
  <c r="AX114" i="10"/>
  <c r="AX146" i="10"/>
  <c r="AX170" i="10"/>
  <c r="AW181" i="10"/>
  <c r="AW189" i="10"/>
  <c r="AW197" i="10"/>
  <c r="AW205" i="10"/>
  <c r="AW213" i="10"/>
  <c r="AW221" i="10"/>
  <c r="AW229" i="10"/>
  <c r="AW237" i="10"/>
  <c r="AW245" i="10"/>
  <c r="AW253" i="10"/>
  <c r="AW261" i="10"/>
  <c r="AW269" i="10"/>
  <c r="AW277" i="10"/>
  <c r="AW285" i="10"/>
  <c r="AW293" i="10"/>
  <c r="AW301" i="10"/>
  <c r="AW309" i="10"/>
  <c r="AX12" i="10"/>
  <c r="BA12" i="10" s="1"/>
  <c r="AX44" i="10"/>
  <c r="AX76" i="10"/>
  <c r="AX108" i="10"/>
  <c r="AX140" i="10"/>
  <c r="AX168" i="10"/>
  <c r="AX179" i="10"/>
  <c r="AX187" i="10"/>
  <c r="AX195" i="10"/>
  <c r="AX203" i="10"/>
  <c r="AX211" i="10"/>
  <c r="AX219" i="10"/>
  <c r="AX227" i="10"/>
  <c r="AX235" i="10"/>
  <c r="AX243" i="10"/>
  <c r="AX251" i="10"/>
  <c r="AX259" i="10"/>
  <c r="AX267" i="10"/>
  <c r="AX275" i="10"/>
  <c r="AX283" i="10"/>
  <c r="AX291" i="10"/>
  <c r="AX299" i="10"/>
  <c r="AX38" i="10"/>
  <c r="BA38" i="10" s="1"/>
  <c r="AX70" i="10"/>
  <c r="AX102" i="10"/>
  <c r="AX134" i="10"/>
  <c r="AX166" i="10"/>
  <c r="AX177" i="10"/>
  <c r="AX335" i="10"/>
  <c r="AX200" i="10"/>
  <c r="AX264" i="10"/>
  <c r="AX232" i="10"/>
  <c r="AX341" i="10"/>
  <c r="BA341" i="10" s="1"/>
  <c r="AX307" i="10"/>
  <c r="AX192" i="10"/>
  <c r="AX355" i="10"/>
  <c r="BA355" i="10" s="1"/>
  <c r="AX323" i="10"/>
  <c r="AX248" i="10"/>
  <c r="AX353" i="10"/>
  <c r="BA353" i="10" s="1"/>
  <c r="AX321" i="10"/>
  <c r="AX240" i="10"/>
  <c r="AW13" i="10"/>
  <c r="AZ13" i="10" s="1"/>
  <c r="AW21" i="10"/>
  <c r="AZ21" i="10" s="1"/>
  <c r="AW29" i="10"/>
  <c r="AZ29" i="10" s="1"/>
  <c r="AW37" i="10"/>
  <c r="AZ37" i="10" s="1"/>
  <c r="AW45" i="10"/>
  <c r="AZ45" i="10" s="1"/>
  <c r="AW53" i="10"/>
  <c r="AW61" i="10"/>
  <c r="AW69" i="10"/>
  <c r="AW77" i="10"/>
  <c r="AW85" i="10"/>
  <c r="AW93" i="10"/>
  <c r="AW101" i="10"/>
  <c r="AW109" i="10"/>
  <c r="AW117" i="10"/>
  <c r="AW125" i="10"/>
  <c r="AW133" i="10"/>
  <c r="AW141" i="10"/>
  <c r="AW149" i="10"/>
  <c r="AW157" i="10"/>
  <c r="AW165" i="10"/>
  <c r="AW173" i="10"/>
  <c r="AX13" i="10"/>
  <c r="BA13" i="10" s="1"/>
  <c r="AX21" i="10"/>
  <c r="BA21" i="10" s="1"/>
  <c r="AX29" i="10"/>
  <c r="BA29" i="10" s="1"/>
  <c r="AX37" i="10"/>
  <c r="BA37" i="10" s="1"/>
  <c r="AX45" i="10"/>
  <c r="AX53" i="10"/>
  <c r="AX61" i="10"/>
  <c r="AX69" i="10"/>
  <c r="AX77" i="10"/>
  <c r="AX85" i="10"/>
  <c r="AX93" i="10"/>
  <c r="AX101" i="10"/>
  <c r="AX109" i="10"/>
  <c r="AX117" i="10"/>
  <c r="AX125" i="10"/>
  <c r="AX133" i="10"/>
  <c r="AX141" i="10"/>
  <c r="AX149" i="10"/>
  <c r="AX157" i="10"/>
  <c r="AX165" i="10"/>
  <c r="AW18" i="10"/>
  <c r="AZ18" i="10" s="1"/>
  <c r="AW26" i="10"/>
  <c r="AZ26" i="10" s="1"/>
  <c r="AW34" i="10"/>
  <c r="AZ34" i="10" s="1"/>
  <c r="AW42" i="10"/>
  <c r="AZ42" i="10" s="1"/>
  <c r="AW50" i="10"/>
  <c r="AW58" i="10"/>
  <c r="AW66" i="10"/>
  <c r="AW74" i="10"/>
  <c r="AW82" i="10"/>
  <c r="AW90" i="10"/>
  <c r="AW98" i="10"/>
  <c r="AW106" i="10"/>
  <c r="AW114" i="10"/>
  <c r="AW122" i="10"/>
  <c r="AW130" i="10"/>
  <c r="AW138" i="10"/>
  <c r="AW146" i="10"/>
  <c r="AW154" i="10"/>
  <c r="AW162" i="10"/>
  <c r="AX26" i="10"/>
  <c r="BA26" i="10" s="1"/>
  <c r="AX58" i="10"/>
  <c r="AX90" i="10"/>
  <c r="AX122" i="10"/>
  <c r="AX154" i="10"/>
  <c r="AX173" i="10"/>
  <c r="AW183" i="10"/>
  <c r="AW191" i="10"/>
  <c r="AW199" i="10"/>
  <c r="AW207" i="10"/>
  <c r="AW215" i="10"/>
  <c r="AW223" i="10"/>
  <c r="AW231" i="10"/>
  <c r="AW239" i="10"/>
  <c r="AW247" i="10"/>
  <c r="AW255" i="10"/>
  <c r="AW263" i="10"/>
  <c r="AW271" i="10"/>
  <c r="AW279" i="10"/>
  <c r="AW287" i="10"/>
  <c r="AW295" i="10"/>
  <c r="AW303" i="10"/>
  <c r="AW311" i="10"/>
  <c r="AX20" i="10"/>
  <c r="BA20" i="10" s="1"/>
  <c r="AX52" i="10"/>
  <c r="AX84" i="10"/>
  <c r="AX116" i="10"/>
  <c r="AX148" i="10"/>
  <c r="AX171" i="10"/>
  <c r="AX181" i="10"/>
  <c r="AX189" i="10"/>
  <c r="AX197" i="10"/>
  <c r="AX205" i="10"/>
  <c r="AX213" i="10"/>
  <c r="AX221" i="10"/>
  <c r="AX229" i="10"/>
  <c r="AX237" i="10"/>
  <c r="AX245" i="10"/>
  <c r="AX253" i="10"/>
  <c r="AX261" i="10"/>
  <c r="AX269" i="10"/>
  <c r="AX277" i="10"/>
  <c r="AX285" i="10"/>
  <c r="AX293" i="10"/>
  <c r="AX14" i="10"/>
  <c r="BA14" i="10" s="1"/>
  <c r="AX46" i="10"/>
  <c r="AX78" i="10"/>
  <c r="AX110" i="10"/>
  <c r="AX142" i="10"/>
  <c r="AX169" i="10"/>
  <c r="AW180" i="10"/>
  <c r="AW188" i="10"/>
  <c r="AW196" i="10"/>
  <c r="AW204" i="10"/>
  <c r="AW212" i="10"/>
  <c r="AW220" i="10"/>
  <c r="AX365" i="10"/>
  <c r="BA365" i="10" s="1"/>
  <c r="AX347" i="10"/>
  <c r="BA347" i="10" s="1"/>
  <c r="AX345" i="10"/>
  <c r="BA345" i="10" s="1"/>
  <c r="AW23" i="10"/>
  <c r="AZ23" i="10" s="1"/>
  <c r="AW55" i="10"/>
  <c r="AZ55" i="10" s="1"/>
  <c r="AW87" i="10"/>
  <c r="AW119" i="10"/>
  <c r="AW151" i="10"/>
  <c r="AX15" i="10"/>
  <c r="BA15" i="10" s="1"/>
  <c r="AX47" i="10"/>
  <c r="AX79" i="10"/>
  <c r="AX111" i="10"/>
  <c r="AX143" i="10"/>
  <c r="AW20" i="10"/>
  <c r="AZ20" i="10" s="1"/>
  <c r="AW52" i="10"/>
  <c r="AW84" i="10"/>
  <c r="AW116" i="10"/>
  <c r="AW148" i="10"/>
  <c r="AX66" i="10"/>
  <c r="AW176" i="10"/>
  <c r="AW209" i="10"/>
  <c r="AW241" i="10"/>
  <c r="AW273" i="10"/>
  <c r="AW305" i="10"/>
  <c r="AX92" i="10"/>
  <c r="AX183" i="10"/>
  <c r="AX215" i="10"/>
  <c r="AX247" i="10"/>
  <c r="AX279" i="10"/>
  <c r="AX54" i="10"/>
  <c r="AW172" i="10"/>
  <c r="AW192" i="10"/>
  <c r="AW202" i="10"/>
  <c r="AW214" i="10"/>
  <c r="AW224" i="10"/>
  <c r="AW232" i="10"/>
  <c r="AW240" i="10"/>
  <c r="AW248" i="10"/>
  <c r="AW256" i="10"/>
  <c r="AW264" i="10"/>
  <c r="AW272" i="10"/>
  <c r="AW280" i="10"/>
  <c r="AW288" i="10"/>
  <c r="AW296" i="10"/>
  <c r="AW11" i="10"/>
  <c r="AZ11" i="10" s="1"/>
  <c r="AW363" i="10"/>
  <c r="AZ363" i="10" s="1"/>
  <c r="AW355" i="10"/>
  <c r="AZ355" i="10" s="1"/>
  <c r="AW347" i="10"/>
  <c r="AZ347" i="10" s="1"/>
  <c r="AW339" i="10"/>
  <c r="AW331" i="10"/>
  <c r="AW323" i="10"/>
  <c r="AX314" i="10"/>
  <c r="AW304" i="10"/>
  <c r="AX278" i="10"/>
  <c r="AX246" i="10"/>
  <c r="AX214" i="10"/>
  <c r="AX182" i="10"/>
  <c r="AX88" i="10"/>
  <c r="AX370" i="10"/>
  <c r="AX362" i="10"/>
  <c r="BA362" i="10" s="1"/>
  <c r="AX354" i="10"/>
  <c r="BA354" i="10" s="1"/>
  <c r="AX346" i="10"/>
  <c r="BA346" i="10" s="1"/>
  <c r="AX338" i="10"/>
  <c r="AX330" i="10"/>
  <c r="AX322" i="10"/>
  <c r="AW314" i="10"/>
  <c r="AX303" i="10"/>
  <c r="AX276" i="10"/>
  <c r="AX244" i="10"/>
  <c r="AX212" i="10"/>
  <c r="AX180" i="10"/>
  <c r="AX80" i="10"/>
  <c r="AW366" i="10"/>
  <c r="AZ366" i="10" s="1"/>
  <c r="AW358" i="10"/>
  <c r="AZ358" i="10" s="1"/>
  <c r="AW350" i="10"/>
  <c r="AZ350" i="10" s="1"/>
  <c r="AW342" i="10"/>
  <c r="AZ342" i="10" s="1"/>
  <c r="AW334" i="10"/>
  <c r="AW326" i="10"/>
  <c r="AW318" i="10"/>
  <c r="AW308" i="10"/>
  <c r="AX290" i="10"/>
  <c r="AX258" i="10"/>
  <c r="AX226" i="10"/>
  <c r="AX194" i="10"/>
  <c r="AX136" i="10"/>
  <c r="AW15" i="10"/>
  <c r="AZ15" i="10" s="1"/>
  <c r="AW79" i="10"/>
  <c r="AW143" i="10"/>
  <c r="AX39" i="10"/>
  <c r="BA39" i="10" s="1"/>
  <c r="AX103" i="10"/>
  <c r="AW12" i="10"/>
  <c r="AZ12" i="10" s="1"/>
  <c r="AW76" i="10"/>
  <c r="AW140" i="10"/>
  <c r="AX162" i="10"/>
  <c r="AW233" i="10"/>
  <c r="AW297" i="10"/>
  <c r="AX207" i="10"/>
  <c r="AX271" i="10"/>
  <c r="AX150" i="10"/>
  <c r="AW210" i="10"/>
  <c r="AW238" i="10"/>
  <c r="AW254" i="10"/>
  <c r="AW278" i="10"/>
  <c r="AW365" i="10"/>
  <c r="AZ365" i="10" s="1"/>
  <c r="AW341" i="10"/>
  <c r="AZ341" i="10" s="1"/>
  <c r="AW317" i="10"/>
  <c r="AX254" i="10"/>
  <c r="AX120" i="10"/>
  <c r="AX348" i="10"/>
  <c r="BA348" i="10" s="1"/>
  <c r="AX324" i="10"/>
  <c r="AX284" i="10"/>
  <c r="AX188" i="10"/>
  <c r="AW368" i="10"/>
  <c r="AZ368" i="10" s="1"/>
  <c r="AW344" i="10"/>
  <c r="AZ344" i="10" s="1"/>
  <c r="AW320" i="10"/>
  <c r="AX266" i="10"/>
  <c r="AX202" i="10"/>
  <c r="AX296" i="10"/>
  <c r="AX333" i="10"/>
  <c r="AX315" i="10"/>
  <c r="AX312" i="10"/>
  <c r="AW31" i="10"/>
  <c r="AZ31" i="10" s="1"/>
  <c r="AW63" i="10"/>
  <c r="AW95" i="10"/>
  <c r="AW127" i="10"/>
  <c r="AW159" i="10"/>
  <c r="AX23" i="10"/>
  <c r="BA23" i="10" s="1"/>
  <c r="AX55" i="10"/>
  <c r="AX87" i="10"/>
  <c r="AX119" i="10"/>
  <c r="AX151" i="10"/>
  <c r="AW28" i="10"/>
  <c r="AZ28" i="10" s="1"/>
  <c r="AW60" i="10"/>
  <c r="AZ60" i="10" s="1"/>
  <c r="AW92" i="10"/>
  <c r="AW124" i="10"/>
  <c r="AW156" i="10"/>
  <c r="AX98" i="10"/>
  <c r="AW185" i="10"/>
  <c r="AW217" i="10"/>
  <c r="AW249" i="10"/>
  <c r="AW281" i="10"/>
  <c r="AW313" i="10"/>
  <c r="AX124" i="10"/>
  <c r="AX191" i="10"/>
  <c r="AX223" i="10"/>
  <c r="AX255" i="10"/>
  <c r="AX287" i="10"/>
  <c r="AX86" i="10"/>
  <c r="AW182" i="10"/>
  <c r="AW194" i="10"/>
  <c r="AW206" i="10"/>
  <c r="AW216" i="10"/>
  <c r="AW226" i="10"/>
  <c r="AW234" i="10"/>
  <c r="AW242" i="10"/>
  <c r="AW250" i="10"/>
  <c r="AW258" i="10"/>
  <c r="AW266" i="10"/>
  <c r="AW274" i="10"/>
  <c r="AW282" i="10"/>
  <c r="AW290" i="10"/>
  <c r="AW298" i="10"/>
  <c r="AW369" i="10"/>
  <c r="AZ369" i="10" s="1"/>
  <c r="AW361" i="10"/>
  <c r="AZ361" i="10" s="1"/>
  <c r="AW353" i="10"/>
  <c r="AZ353" i="10" s="1"/>
  <c r="AW345" i="10"/>
  <c r="AZ345" i="10" s="1"/>
  <c r="AW337" i="10"/>
  <c r="AW329" i="10"/>
  <c r="AW321" i="10"/>
  <c r="AW312" i="10"/>
  <c r="AX301" i="10"/>
  <c r="AX270" i="10"/>
  <c r="AX238" i="10"/>
  <c r="AX206" i="10"/>
  <c r="AX172" i="10"/>
  <c r="AX56" i="10"/>
  <c r="AX368" i="10"/>
  <c r="BA368" i="10" s="1"/>
  <c r="AX360" i="10"/>
  <c r="BA360" i="10" s="1"/>
  <c r="AX352" i="10"/>
  <c r="BA352" i="10" s="1"/>
  <c r="AX344" i="10"/>
  <c r="BA344" i="10" s="1"/>
  <c r="AX336" i="10"/>
  <c r="AX328" i="10"/>
  <c r="AX320" i="10"/>
  <c r="AX311" i="10"/>
  <c r="AX300" i="10"/>
  <c r="AX268" i="10"/>
  <c r="AX236" i="10"/>
  <c r="AX204" i="10"/>
  <c r="AW170" i="10"/>
  <c r="AX48" i="10"/>
  <c r="AW10" i="10"/>
  <c r="AW364" i="10"/>
  <c r="AZ364" i="10" s="1"/>
  <c r="AW356" i="10"/>
  <c r="AZ356" i="10" s="1"/>
  <c r="AW348" i="10"/>
  <c r="AZ348" i="10" s="1"/>
  <c r="AW340" i="10"/>
  <c r="AZ340" i="10" s="1"/>
  <c r="AW332" i="10"/>
  <c r="AW324" i="10"/>
  <c r="AW316" i="10"/>
  <c r="AX305" i="10"/>
  <c r="AX282" i="10"/>
  <c r="AX250" i="10"/>
  <c r="AX218" i="10"/>
  <c r="AX186" i="10"/>
  <c r="AX104" i="10"/>
  <c r="AX32" i="10"/>
  <c r="BA32" i="10" s="1"/>
  <c r="AW174" i="10"/>
  <c r="AW200" i="10"/>
  <c r="AW230" i="10"/>
  <c r="AW262" i="10"/>
  <c r="AW286" i="10"/>
  <c r="AW349" i="10"/>
  <c r="AZ349" i="10" s="1"/>
  <c r="AW325" i="10"/>
  <c r="AX286" i="10"/>
  <c r="AX190" i="10"/>
  <c r="AX356" i="10"/>
  <c r="BA356" i="10" s="1"/>
  <c r="AX332" i="10"/>
  <c r="AX316" i="10"/>
  <c r="AX252" i="10"/>
  <c r="AX112" i="10"/>
  <c r="AW360" i="10"/>
  <c r="AZ360" i="10" s="1"/>
  <c r="AW336" i="10"/>
  <c r="AX310" i="10"/>
  <c r="AX234" i="10"/>
  <c r="AX40" i="10"/>
  <c r="BA40" i="10" s="1"/>
  <c r="AX288" i="10"/>
  <c r="AX216" i="10"/>
  <c r="AX208" i="10"/>
  <c r="AW39" i="10"/>
  <c r="AZ39" i="10" s="1"/>
  <c r="AW71" i="10"/>
  <c r="AW103" i="10"/>
  <c r="AW135" i="10"/>
  <c r="AW167" i="10"/>
  <c r="AX31" i="10"/>
  <c r="BA31" i="10" s="1"/>
  <c r="AX63" i="10"/>
  <c r="AX95" i="10"/>
  <c r="AX127" i="10"/>
  <c r="AX159" i="10"/>
  <c r="AW36" i="10"/>
  <c r="AZ36" i="10" s="1"/>
  <c r="AW68" i="10"/>
  <c r="AW100" i="10"/>
  <c r="AW132" i="10"/>
  <c r="AW164" i="10"/>
  <c r="AX130" i="10"/>
  <c r="AW193" i="10"/>
  <c r="AW225" i="10"/>
  <c r="AW257" i="10"/>
  <c r="AW289" i="10"/>
  <c r="AX28" i="10"/>
  <c r="BA28" i="10" s="1"/>
  <c r="AX156" i="10"/>
  <c r="AX199" i="10"/>
  <c r="AX231" i="10"/>
  <c r="AX263" i="10"/>
  <c r="AX295" i="10"/>
  <c r="AX118" i="10"/>
  <c r="AW186" i="10"/>
  <c r="AW198" i="10"/>
  <c r="AW208" i="10"/>
  <c r="AW218" i="10"/>
  <c r="AW228" i="10"/>
  <c r="AW236" i="10"/>
  <c r="AW244" i="10"/>
  <c r="AW252" i="10"/>
  <c r="AW260" i="10"/>
  <c r="AW268" i="10"/>
  <c r="AW276" i="10"/>
  <c r="AW284" i="10"/>
  <c r="AW292" i="10"/>
  <c r="AW300" i="10"/>
  <c r="AW367" i="10"/>
  <c r="AZ367" i="10" s="1"/>
  <c r="AW359" i="10"/>
  <c r="AZ359" i="10" s="1"/>
  <c r="AW351" i="10"/>
  <c r="AZ351" i="10" s="1"/>
  <c r="AW343" i="10"/>
  <c r="AZ343" i="10" s="1"/>
  <c r="AW335" i="10"/>
  <c r="AW327" i="10"/>
  <c r="AW319" i="10"/>
  <c r="AX309" i="10"/>
  <c r="AX294" i="10"/>
  <c r="AX262" i="10"/>
  <c r="AX230" i="10"/>
  <c r="AX198" i="10"/>
  <c r="AX152" i="10"/>
  <c r="AX24" i="10"/>
  <c r="BA24" i="10" s="1"/>
  <c r="AX366" i="10"/>
  <c r="BA366" i="10" s="1"/>
  <c r="AX358" i="10"/>
  <c r="BA358" i="10" s="1"/>
  <c r="AX350" i="10"/>
  <c r="BA350" i="10" s="1"/>
  <c r="AX342" i="10"/>
  <c r="BA342" i="10" s="1"/>
  <c r="AX334" i="10"/>
  <c r="AX326" i="10"/>
  <c r="AX318" i="10"/>
  <c r="AX308" i="10"/>
  <c r="AX292" i="10"/>
  <c r="AX260" i="10"/>
  <c r="AX228" i="10"/>
  <c r="AX196" i="10"/>
  <c r="AX144" i="10"/>
  <c r="AX16" i="10"/>
  <c r="BA16" i="10" s="1"/>
  <c r="AW370" i="10"/>
  <c r="AW362" i="10"/>
  <c r="AZ362" i="10" s="1"/>
  <c r="AW354" i="10"/>
  <c r="AZ354" i="10" s="1"/>
  <c r="AW346" i="10"/>
  <c r="AZ346" i="10" s="1"/>
  <c r="AW338" i="10"/>
  <c r="AW330" i="10"/>
  <c r="AW322" i="10"/>
  <c r="AX313" i="10"/>
  <c r="AX302" i="10"/>
  <c r="AX274" i="10"/>
  <c r="AX242" i="10"/>
  <c r="AX210" i="10"/>
  <c r="AW178" i="10"/>
  <c r="AX72" i="10"/>
  <c r="AX128" i="10"/>
  <c r="AW47" i="10"/>
  <c r="AW111" i="10"/>
  <c r="AW175" i="10"/>
  <c r="AX71" i="10"/>
  <c r="AX135" i="10"/>
  <c r="AW44" i="10"/>
  <c r="AZ44" i="10" s="1"/>
  <c r="AW108" i="10"/>
  <c r="AX34" i="10"/>
  <c r="BA34" i="10" s="1"/>
  <c r="AW201" i="10"/>
  <c r="AW265" i="10"/>
  <c r="AX60" i="10"/>
  <c r="AX239" i="10"/>
  <c r="AX22" i="10"/>
  <c r="BA22" i="10" s="1"/>
  <c r="AW190" i="10"/>
  <c r="AW222" i="10"/>
  <c r="AW246" i="10"/>
  <c r="AW270" i="10"/>
  <c r="AW294" i="10"/>
  <c r="AW357" i="10"/>
  <c r="AZ357" i="10" s="1"/>
  <c r="AW333" i="10"/>
  <c r="AX306" i="10"/>
  <c r="AX222" i="10"/>
  <c r="AX364" i="10"/>
  <c r="BA364" i="10" s="1"/>
  <c r="AX340" i="10"/>
  <c r="BA340" i="10" s="1"/>
  <c r="AW306" i="10"/>
  <c r="AX220" i="10"/>
  <c r="AW352" i="10"/>
  <c r="AZ352" i="10" s="1"/>
  <c r="AW328" i="10"/>
  <c r="AX298" i="10"/>
  <c r="AX167" i="10"/>
  <c r="AB44" i="10"/>
  <c r="AB12" i="10"/>
  <c r="AB351" i="10"/>
  <c r="AB367" i="10"/>
  <c r="AC319" i="10"/>
  <c r="AB349" i="10"/>
  <c r="AC279" i="10"/>
  <c r="AB363" i="10"/>
  <c r="AB331" i="10"/>
  <c r="AC207" i="10"/>
  <c r="AB353" i="10"/>
  <c r="AC295" i="10"/>
  <c r="AC54" i="10"/>
  <c r="AC364" i="10"/>
  <c r="AC356" i="10"/>
  <c r="AC348" i="10"/>
  <c r="AC340" i="10"/>
  <c r="AC332" i="10"/>
  <c r="AC309" i="10"/>
  <c r="AC277" i="10"/>
  <c r="AC245" i="10"/>
  <c r="AC213" i="10"/>
  <c r="AB120" i="10"/>
  <c r="AB15" i="10"/>
  <c r="AB26" i="10"/>
  <c r="AC36" i="10"/>
  <c r="AB47" i="10"/>
  <c r="AB58" i="10"/>
  <c r="AC68" i="10"/>
  <c r="AB79" i="10"/>
  <c r="AB90" i="10"/>
  <c r="AC98" i="10"/>
  <c r="AC106" i="10"/>
  <c r="AC114" i="10"/>
  <c r="AC122" i="10"/>
  <c r="AC130" i="10"/>
  <c r="AC138" i="10"/>
  <c r="AC146" i="10"/>
  <c r="AC154" i="10"/>
  <c r="AC162" i="10"/>
  <c r="AC170" i="10"/>
  <c r="AC178" i="10"/>
  <c r="AC186" i="10"/>
  <c r="AC194" i="10"/>
  <c r="AB13" i="10"/>
  <c r="AB24" i="10"/>
  <c r="AC34" i="10"/>
  <c r="AB45" i="10"/>
  <c r="AB56" i="10"/>
  <c r="AC66" i="10"/>
  <c r="AB77" i="10"/>
  <c r="AB88" i="10"/>
  <c r="AB97" i="10"/>
  <c r="AB105" i="10"/>
  <c r="AB113" i="10"/>
  <c r="AB121" i="10"/>
  <c r="AB129" i="10"/>
  <c r="AB137" i="10"/>
  <c r="AB145" i="10"/>
  <c r="AB153" i="10"/>
  <c r="AB161" i="10"/>
  <c r="AB169" i="10"/>
  <c r="AB177" i="10"/>
  <c r="AB185" i="10"/>
  <c r="AB193" i="10"/>
  <c r="AB201" i="10"/>
  <c r="AB22" i="10"/>
  <c r="AC32" i="10"/>
  <c r="AB43" i="10"/>
  <c r="AB54" i="10"/>
  <c r="AC64" i="10"/>
  <c r="AB75" i="10"/>
  <c r="AB86" i="10"/>
  <c r="AC95" i="10"/>
  <c r="AC103" i="10"/>
  <c r="AC111" i="10"/>
  <c r="AC119" i="10"/>
  <c r="AC127" i="10"/>
  <c r="AC135" i="10"/>
  <c r="AC143" i="10"/>
  <c r="AC151" i="10"/>
  <c r="AC159" i="10"/>
  <c r="AC167" i="10"/>
  <c r="AC175" i="10"/>
  <c r="AC183" i="10"/>
  <c r="AC191" i="10"/>
  <c r="AC199" i="10"/>
  <c r="AB36" i="10"/>
  <c r="AC78" i="10"/>
  <c r="AB114" i="10"/>
  <c r="AB146" i="10"/>
  <c r="AB178" i="10"/>
  <c r="AB204" i="10"/>
  <c r="AB212" i="10"/>
  <c r="AB220" i="10"/>
  <c r="AB228" i="10"/>
  <c r="AB236" i="10"/>
  <c r="AB244" i="10"/>
  <c r="AB252" i="10"/>
  <c r="AB260" i="10"/>
  <c r="AB268" i="10"/>
  <c r="AB276" i="10"/>
  <c r="AB284" i="10"/>
  <c r="AB292" i="10"/>
  <c r="AB300" i="10"/>
  <c r="AB308" i="10"/>
  <c r="AB316" i="10"/>
  <c r="AB324" i="10"/>
  <c r="AB28" i="10"/>
  <c r="AC70" i="10"/>
  <c r="AB108" i="10"/>
  <c r="AB140" i="10"/>
  <c r="AB172" i="10"/>
  <c r="AC202" i="10"/>
  <c r="AC210" i="10"/>
  <c r="AC218" i="10"/>
  <c r="AC226" i="10"/>
  <c r="AC234" i="10"/>
  <c r="AC242" i="10"/>
  <c r="AC250" i="10"/>
  <c r="AC258" i="10"/>
  <c r="AC266" i="10"/>
  <c r="AC274" i="10"/>
  <c r="AC282" i="10"/>
  <c r="AC290" i="10"/>
  <c r="AC298" i="10"/>
  <c r="AC306" i="10"/>
  <c r="AC314" i="10"/>
  <c r="AC322" i="10"/>
  <c r="AB20" i="10"/>
  <c r="AC62" i="10"/>
  <c r="AB102" i="10"/>
  <c r="AB134" i="10"/>
  <c r="AB166" i="10"/>
  <c r="AB198" i="10"/>
  <c r="AB209" i="10"/>
  <c r="AB217" i="10"/>
  <c r="AB225" i="10"/>
  <c r="AB233" i="10"/>
  <c r="AB241" i="10"/>
  <c r="AB249" i="10"/>
  <c r="AB257" i="10"/>
  <c r="AB265" i="10"/>
  <c r="AB273" i="10"/>
  <c r="AB281" i="10"/>
  <c r="AB289" i="10"/>
  <c r="AB297" i="10"/>
  <c r="AB305" i="10"/>
  <c r="AB313" i="10"/>
  <c r="AB321" i="10"/>
  <c r="AB329" i="10"/>
  <c r="AB364" i="10"/>
  <c r="AB356" i="10"/>
  <c r="AB348" i="10"/>
  <c r="AB340" i="10"/>
  <c r="AB332" i="10"/>
  <c r="AC307" i="10"/>
  <c r="AC275" i="10"/>
  <c r="AC243" i="10"/>
  <c r="AC211" i="10"/>
  <c r="AB112" i="10"/>
  <c r="AC367" i="10"/>
  <c r="AC359" i="10"/>
  <c r="AC351" i="10"/>
  <c r="AC343" i="10"/>
  <c r="AC335" i="10"/>
  <c r="AC321" i="10"/>
  <c r="AC289" i="10"/>
  <c r="AC257" i="10"/>
  <c r="AC225" i="10"/>
  <c r="AB168" i="10"/>
  <c r="AC22" i="10"/>
  <c r="AC287" i="10"/>
  <c r="AB335" i="10"/>
  <c r="AB160" i="10"/>
  <c r="AB341" i="10"/>
  <c r="AC247" i="10"/>
  <c r="AB355" i="10"/>
  <c r="AC303" i="10"/>
  <c r="AB96" i="10"/>
  <c r="AB345" i="10"/>
  <c r="AC263" i="10"/>
  <c r="AC370" i="10"/>
  <c r="AC362" i="10"/>
  <c r="AC354" i="10"/>
  <c r="AC346" i="10"/>
  <c r="AC338" i="10"/>
  <c r="AC330" i="10"/>
  <c r="AC301" i="10"/>
  <c r="AC269" i="10"/>
  <c r="AC237" i="10"/>
  <c r="AC205" i="10"/>
  <c r="AC86" i="10"/>
  <c r="AB18" i="10"/>
  <c r="AC28" i="10"/>
  <c r="AB39" i="10"/>
  <c r="AB50" i="10"/>
  <c r="AC60" i="10"/>
  <c r="AB71" i="10"/>
  <c r="AB82" i="10"/>
  <c r="AC92" i="10"/>
  <c r="AC100" i="10"/>
  <c r="AC108" i="10"/>
  <c r="AC116" i="10"/>
  <c r="AC124" i="10"/>
  <c r="AC132" i="10"/>
  <c r="AC140" i="10"/>
  <c r="AC148" i="10"/>
  <c r="AC156" i="10"/>
  <c r="AC164" i="10"/>
  <c r="AC172" i="10"/>
  <c r="AC180" i="10"/>
  <c r="AC188" i="10"/>
  <c r="AC196" i="10"/>
  <c r="AB16" i="10"/>
  <c r="AC26" i="10"/>
  <c r="AB37" i="10"/>
  <c r="AB48" i="10"/>
  <c r="AC58" i="10"/>
  <c r="AB69" i="10"/>
  <c r="AB80" i="10"/>
  <c r="AC90" i="10"/>
  <c r="AB99" i="10"/>
  <c r="AB107" i="10"/>
  <c r="AB115" i="10"/>
  <c r="AB123" i="10"/>
  <c r="AB131" i="10"/>
  <c r="AB139" i="10"/>
  <c r="AB147" i="10"/>
  <c r="AB155" i="10"/>
  <c r="AB163" i="10"/>
  <c r="AB171" i="10"/>
  <c r="AB179" i="10"/>
  <c r="AB187" i="10"/>
  <c r="AB195" i="10"/>
  <c r="AB14" i="10"/>
  <c r="AC24" i="10"/>
  <c r="AB35" i="10"/>
  <c r="AB46" i="10"/>
  <c r="AC56" i="10"/>
  <c r="AB67" i="10"/>
  <c r="AB78" i="10"/>
  <c r="AC88" i="10"/>
  <c r="AC97" i="10"/>
  <c r="AC105" i="10"/>
  <c r="AC113" i="10"/>
  <c r="AC121" i="10"/>
  <c r="AC129" i="10"/>
  <c r="AC137" i="10"/>
  <c r="AC145" i="10"/>
  <c r="AC153" i="10"/>
  <c r="AC161" i="10"/>
  <c r="AC169" i="10"/>
  <c r="AC177" i="10"/>
  <c r="AC185" i="10"/>
  <c r="AC193" i="10"/>
  <c r="AC201" i="10"/>
  <c r="AC46" i="10"/>
  <c r="AB89" i="10"/>
  <c r="AB122" i="10"/>
  <c r="AB154" i="10"/>
  <c r="AB186" i="10"/>
  <c r="AB206" i="10"/>
  <c r="AB214" i="10"/>
  <c r="AB222" i="10"/>
  <c r="AB230" i="10"/>
  <c r="AB238" i="10"/>
  <c r="AB246" i="10"/>
  <c r="AB254" i="10"/>
  <c r="AB262" i="10"/>
  <c r="AB270" i="10"/>
  <c r="AB278" i="10"/>
  <c r="AB286" i="10"/>
  <c r="AB294" i="10"/>
  <c r="AB302" i="10"/>
  <c r="AB310" i="10"/>
  <c r="AB318" i="10"/>
  <c r="AB326" i="10"/>
  <c r="AC38" i="10"/>
  <c r="AB81" i="10"/>
  <c r="AB116" i="10"/>
  <c r="AB148" i="10"/>
  <c r="AB180" i="10"/>
  <c r="AC204" i="10"/>
  <c r="AC212" i="10"/>
  <c r="AC220" i="10"/>
  <c r="AC228" i="10"/>
  <c r="AC236" i="10"/>
  <c r="AC244" i="10"/>
  <c r="AC252" i="10"/>
  <c r="AC260" i="10"/>
  <c r="AC268" i="10"/>
  <c r="AC276" i="10"/>
  <c r="AC284" i="10"/>
  <c r="AC292" i="10"/>
  <c r="AC300" i="10"/>
  <c r="AC308" i="10"/>
  <c r="AC316" i="10"/>
  <c r="AC324" i="10"/>
  <c r="AC30" i="10"/>
  <c r="AB73" i="10"/>
  <c r="AB110" i="10"/>
  <c r="AB142" i="10"/>
  <c r="AB174" i="10"/>
  <c r="AB203" i="10"/>
  <c r="AB211" i="10"/>
  <c r="AB219" i="10"/>
  <c r="AB227" i="10"/>
  <c r="AB235" i="10"/>
  <c r="AB243" i="10"/>
  <c r="AB251" i="10"/>
  <c r="AB259" i="10"/>
  <c r="AB267" i="10"/>
  <c r="AB275" i="10"/>
  <c r="AB283" i="10"/>
  <c r="AB291" i="10"/>
  <c r="AB299" i="10"/>
  <c r="AB307" i="10"/>
  <c r="AB315" i="10"/>
  <c r="AB323" i="10"/>
  <c r="AB370" i="10"/>
  <c r="AB362" i="10"/>
  <c r="AB354" i="10"/>
  <c r="AB346" i="10"/>
  <c r="AB338" i="10"/>
  <c r="AB330" i="10"/>
  <c r="AC299" i="10"/>
  <c r="AC267" i="10"/>
  <c r="AC235" i="10"/>
  <c r="AC203" i="10"/>
  <c r="AB76" i="10"/>
  <c r="AC365" i="10"/>
  <c r="AC357" i="10"/>
  <c r="AC349" i="10"/>
  <c r="AC341" i="10"/>
  <c r="AB343" i="10"/>
  <c r="AC223" i="10"/>
  <c r="AB365" i="10"/>
  <c r="AB333" i="10"/>
  <c r="AC215" i="10"/>
  <c r="AB347" i="10"/>
  <c r="AC271" i="10"/>
  <c r="AB369" i="10"/>
  <c r="AB337" i="10"/>
  <c r="AC231" i="10"/>
  <c r="AC368" i="10"/>
  <c r="AC360" i="10"/>
  <c r="AC352" i="10"/>
  <c r="AC344" i="10"/>
  <c r="AC336" i="10"/>
  <c r="AC325" i="10"/>
  <c r="AC293" i="10"/>
  <c r="AC261" i="10"/>
  <c r="AC229" i="10"/>
  <c r="AB184" i="10"/>
  <c r="AC10" i="10"/>
  <c r="AL22" i="10" s="1"/>
  <c r="AC20" i="10"/>
  <c r="AB31" i="10"/>
  <c r="AB42" i="10"/>
  <c r="AC52" i="10"/>
  <c r="AB63" i="10"/>
  <c r="AB74" i="10"/>
  <c r="AC84" i="10"/>
  <c r="AC94" i="10"/>
  <c r="AC102" i="10"/>
  <c r="AC110" i="10"/>
  <c r="AC118" i="10"/>
  <c r="AC126" i="10"/>
  <c r="AC134" i="10"/>
  <c r="AC142" i="10"/>
  <c r="AC150" i="10"/>
  <c r="AC158" i="10"/>
  <c r="AC166" i="10"/>
  <c r="AC174" i="10"/>
  <c r="AC182" i="10"/>
  <c r="AC190" i="10"/>
  <c r="AC198" i="10"/>
  <c r="AC18" i="10"/>
  <c r="AB29" i="10"/>
  <c r="AB40" i="10"/>
  <c r="AC50" i="10"/>
  <c r="AB61" i="10"/>
  <c r="AB72" i="10"/>
  <c r="AC82" i="10"/>
  <c r="AB93" i="10"/>
  <c r="AB101" i="10"/>
  <c r="AB109" i="10"/>
  <c r="AB117" i="10"/>
  <c r="AB125" i="10"/>
  <c r="AB133" i="10"/>
  <c r="AB141" i="10"/>
  <c r="AB149" i="10"/>
  <c r="AB157" i="10"/>
  <c r="AB165" i="10"/>
  <c r="AB173" i="10"/>
  <c r="AB181" i="10"/>
  <c r="AB189" i="10"/>
  <c r="AB197" i="10"/>
  <c r="AC16" i="10"/>
  <c r="AB27" i="10"/>
  <c r="AB38" i="10"/>
  <c r="AC48" i="10"/>
  <c r="AB59" i="10"/>
  <c r="AB70" i="10"/>
  <c r="AC80" i="10"/>
  <c r="AB91" i="10"/>
  <c r="AC99" i="10"/>
  <c r="AC107" i="10"/>
  <c r="AC115" i="10"/>
  <c r="AC123" i="10"/>
  <c r="AC131" i="10"/>
  <c r="AC139" i="10"/>
  <c r="AC147" i="10"/>
  <c r="AC155" i="10"/>
  <c r="AC163" i="10"/>
  <c r="AC171" i="10"/>
  <c r="AC179" i="10"/>
  <c r="AC187" i="10"/>
  <c r="AC195" i="10"/>
  <c r="AC14" i="10"/>
  <c r="AB57" i="10"/>
  <c r="AB98" i="10"/>
  <c r="AB130" i="10"/>
  <c r="AB162" i="10"/>
  <c r="AB194" i="10"/>
  <c r="AB208" i="10"/>
  <c r="AB216" i="10"/>
  <c r="AB224" i="10"/>
  <c r="AB232" i="10"/>
  <c r="AB240" i="10"/>
  <c r="AB248" i="10"/>
  <c r="AB256" i="10"/>
  <c r="AB264" i="10"/>
  <c r="AB272" i="10"/>
  <c r="AB280" i="10"/>
  <c r="AB288" i="10"/>
  <c r="AB296" i="10"/>
  <c r="AB304" i="10"/>
  <c r="AB312" i="10"/>
  <c r="AB320" i="10"/>
  <c r="AB328" i="10"/>
  <c r="AB49" i="10"/>
  <c r="AB92" i="10"/>
  <c r="AB124" i="10"/>
  <c r="AB156" i="10"/>
  <c r="AB188" i="10"/>
  <c r="AC206" i="10"/>
  <c r="AC214" i="10"/>
  <c r="AC222" i="10"/>
  <c r="AC230" i="10"/>
  <c r="AC238" i="10"/>
  <c r="AC246" i="10"/>
  <c r="AC254" i="10"/>
  <c r="AC262" i="10"/>
  <c r="AC270" i="10"/>
  <c r="AC278" i="10"/>
  <c r="AC286" i="10"/>
  <c r="AC294" i="10"/>
  <c r="AC302" i="10"/>
  <c r="AC310" i="10"/>
  <c r="AC318" i="10"/>
  <c r="AC326" i="10"/>
  <c r="AB41" i="10"/>
  <c r="AB84" i="10"/>
  <c r="AB118" i="10"/>
  <c r="AB150" i="10"/>
  <c r="AB182" i="10"/>
  <c r="AB205" i="10"/>
  <c r="AB213" i="10"/>
  <c r="AB221" i="10"/>
  <c r="AB229" i="10"/>
  <c r="AB237" i="10"/>
  <c r="AB245" i="10"/>
  <c r="AB253" i="10"/>
  <c r="AB261" i="10"/>
  <c r="AB269" i="10"/>
  <c r="AB277" i="10"/>
  <c r="AB285" i="10"/>
  <c r="AB293" i="10"/>
  <c r="AB301" i="10"/>
  <c r="AB309" i="10"/>
  <c r="AB317" i="10"/>
  <c r="AB325" i="10"/>
  <c r="AB368" i="10"/>
  <c r="AB360" i="10"/>
  <c r="AB352" i="10"/>
  <c r="AB344" i="10"/>
  <c r="AB336" i="10"/>
  <c r="AC323" i="10"/>
  <c r="AC291" i="10"/>
  <c r="AC259" i="10"/>
  <c r="AC227" i="10"/>
  <c r="AB176" i="10"/>
  <c r="AB33" i="10"/>
  <c r="AC363" i="10"/>
  <c r="AC355" i="10"/>
  <c r="AC347" i="10"/>
  <c r="AC339" i="10"/>
  <c r="AC331" i="10"/>
  <c r="AC255" i="10"/>
  <c r="AB128" i="10"/>
  <c r="AC327" i="10"/>
  <c r="AC350" i="10"/>
  <c r="AC285" i="10"/>
  <c r="AC12" i="10"/>
  <c r="AB55" i="10"/>
  <c r="AC96" i="10"/>
  <c r="AC128" i="10"/>
  <c r="AC160" i="10"/>
  <c r="AC192" i="10"/>
  <c r="AC42" i="10"/>
  <c r="AB85" i="10"/>
  <c r="AB119" i="10"/>
  <c r="AB151" i="10"/>
  <c r="AB183" i="10"/>
  <c r="AB30" i="10"/>
  <c r="AC72" i="10"/>
  <c r="AC109" i="10"/>
  <c r="AC141" i="10"/>
  <c r="AC173" i="10"/>
  <c r="AB25" i="10"/>
  <c r="AB170" i="10"/>
  <c r="AB226" i="10"/>
  <c r="AB258" i="10"/>
  <c r="AB290" i="10"/>
  <c r="AB322" i="10"/>
  <c r="AB132" i="10"/>
  <c r="AC216" i="10"/>
  <c r="AC248" i="10"/>
  <c r="AC280" i="10"/>
  <c r="AC312" i="10"/>
  <c r="AB94" i="10"/>
  <c r="AB207" i="10"/>
  <c r="AB239" i="10"/>
  <c r="AB271" i="10"/>
  <c r="AB303" i="10"/>
  <c r="AB366" i="10"/>
  <c r="AB334" i="10"/>
  <c r="AC219" i="10"/>
  <c r="AC353" i="10"/>
  <c r="AC329" i="10"/>
  <c r="AC281" i="10"/>
  <c r="AC241" i="10"/>
  <c r="AB200" i="10"/>
  <c r="AB359" i="10"/>
  <c r="AB339" i="10"/>
  <c r="AB192" i="10"/>
  <c r="AC342" i="10"/>
  <c r="AC253" i="10"/>
  <c r="AB23" i="10"/>
  <c r="AB66" i="10"/>
  <c r="AC104" i="10"/>
  <c r="AC136" i="10"/>
  <c r="AC168" i="10"/>
  <c r="AC200" i="10"/>
  <c r="AB53" i="10"/>
  <c r="AB95" i="10"/>
  <c r="AB127" i="10"/>
  <c r="AB159" i="10"/>
  <c r="AB191" i="10"/>
  <c r="AC40" i="10"/>
  <c r="AB83" i="10"/>
  <c r="AC117" i="10"/>
  <c r="AC149" i="10"/>
  <c r="AC181" i="10"/>
  <c r="AB68" i="10"/>
  <c r="AB202" i="10"/>
  <c r="AB234" i="10"/>
  <c r="AB266" i="10"/>
  <c r="AB298" i="10"/>
  <c r="AB17" i="10"/>
  <c r="AB164" i="10"/>
  <c r="AC224" i="10"/>
  <c r="AC256" i="10"/>
  <c r="AC288" i="10"/>
  <c r="AC320" i="10"/>
  <c r="AB126" i="10"/>
  <c r="AB215" i="10"/>
  <c r="AB247" i="10"/>
  <c r="AB279" i="10"/>
  <c r="AB311" i="10"/>
  <c r="AB358" i="10"/>
  <c r="AC315" i="10"/>
  <c r="AB144" i="10"/>
  <c r="AC345" i="10"/>
  <c r="AC313" i="10"/>
  <c r="AC273" i="10"/>
  <c r="AC233" i="10"/>
  <c r="AB136" i="10"/>
  <c r="AB357" i="10"/>
  <c r="AC239" i="10"/>
  <c r="AC366" i="10"/>
  <c r="AC334" i="10"/>
  <c r="AC221" i="10"/>
  <c r="AB34" i="10"/>
  <c r="AC76" i="10"/>
  <c r="AC112" i="10"/>
  <c r="AC144" i="10"/>
  <c r="AC176" i="10"/>
  <c r="AB21" i="10"/>
  <c r="AB64" i="10"/>
  <c r="AB103" i="10"/>
  <c r="AB135" i="10"/>
  <c r="AB167" i="10"/>
  <c r="AB199" i="10"/>
  <c r="AB51" i="10"/>
  <c r="AC93" i="10"/>
  <c r="AC125" i="10"/>
  <c r="AC157" i="10"/>
  <c r="AC189" i="10"/>
  <c r="AB106" i="10"/>
  <c r="AB210" i="10"/>
  <c r="AB242" i="10"/>
  <c r="AB274" i="10"/>
  <c r="AB306" i="10"/>
  <c r="AB60" i="10"/>
  <c r="AB196" i="10"/>
  <c r="AC232" i="10"/>
  <c r="AC264" i="10"/>
  <c r="AC296" i="10"/>
  <c r="AC328" i="10"/>
  <c r="AB158" i="10"/>
  <c r="AB223" i="10"/>
  <c r="AB255" i="10"/>
  <c r="AB287" i="10"/>
  <c r="AB319" i="10"/>
  <c r="AB350" i="10"/>
  <c r="AC283" i="10"/>
  <c r="AC369" i="10"/>
  <c r="AC337" i="10"/>
  <c r="AC305" i="10"/>
  <c r="AC265" i="10"/>
  <c r="AC217" i="10"/>
  <c r="AB104" i="10"/>
  <c r="AC311" i="10"/>
  <c r="AB152" i="10"/>
  <c r="AC152" i="10"/>
  <c r="AB111" i="10"/>
  <c r="AB62" i="10"/>
  <c r="AC197" i="10"/>
  <c r="AB282" i="10"/>
  <c r="AC240" i="10"/>
  <c r="AB190" i="10"/>
  <c r="AK14" i="10" s="1"/>
  <c r="AB327" i="10"/>
  <c r="AC333" i="10"/>
  <c r="AB65" i="10"/>
  <c r="AC91" i="10"/>
  <c r="AC83" i="10"/>
  <c r="AC75" i="10"/>
  <c r="AC67" i="10"/>
  <c r="AC59" i="10"/>
  <c r="AC51" i="10"/>
  <c r="AC43" i="10"/>
  <c r="AC35" i="10"/>
  <c r="AC27" i="10"/>
  <c r="AC19" i="10"/>
  <c r="AB11" i="10"/>
  <c r="AC74" i="10"/>
  <c r="AB52" i="10"/>
  <c r="AC209" i="10"/>
  <c r="AC85" i="10"/>
  <c r="AC53" i="10"/>
  <c r="AC29" i="10"/>
  <c r="AB361" i="10"/>
  <c r="AC44" i="10"/>
  <c r="AC184" i="10"/>
  <c r="AB143" i="10"/>
  <c r="AC101" i="10"/>
  <c r="AB138" i="10"/>
  <c r="AB314" i="10"/>
  <c r="AC272" i="10"/>
  <c r="AB231" i="10"/>
  <c r="AB342" i="10"/>
  <c r="AC297" i="10"/>
  <c r="AC89" i="10"/>
  <c r="AC81" i="10"/>
  <c r="AC73" i="10"/>
  <c r="AC65" i="10"/>
  <c r="AC57" i="10"/>
  <c r="AC49" i="10"/>
  <c r="AC41" i="10"/>
  <c r="AC33" i="10"/>
  <c r="AC25" i="10"/>
  <c r="AC17" i="10"/>
  <c r="AC317" i="10"/>
  <c r="AB19" i="10"/>
  <c r="AC165" i="10"/>
  <c r="AB250" i="10"/>
  <c r="AC208" i="10"/>
  <c r="AC361" i="10"/>
  <c r="AC69" i="10"/>
  <c r="AC45" i="10"/>
  <c r="AC21" i="10"/>
  <c r="AC358" i="10"/>
  <c r="AB87" i="10"/>
  <c r="AB32" i="10"/>
  <c r="AB175" i="10"/>
  <c r="AC133" i="10"/>
  <c r="AB218" i="10"/>
  <c r="AB100" i="10"/>
  <c r="AC304" i="10"/>
  <c r="AB263" i="10"/>
  <c r="AC251" i="10"/>
  <c r="AC249" i="10"/>
  <c r="AC11" i="10"/>
  <c r="AC87" i="10"/>
  <c r="AC79" i="10"/>
  <c r="AC71" i="10"/>
  <c r="AC63" i="10"/>
  <c r="AC55" i="10"/>
  <c r="AC47" i="10"/>
  <c r="AC39" i="10"/>
  <c r="AC31" i="10"/>
  <c r="AC23" i="10"/>
  <c r="AC15" i="10"/>
  <c r="AC120" i="10"/>
  <c r="AB295" i="10"/>
  <c r="AC77" i="10"/>
  <c r="AC61" i="10"/>
  <c r="AC37" i="10"/>
  <c r="AC13" i="10"/>
  <c r="C42" i="7"/>
  <c r="C43" i="7" s="1"/>
  <c r="F40" i="7" s="1"/>
  <c r="F38" i="7"/>
  <c r="N63" i="7"/>
  <c r="O63" i="7" s="1"/>
  <c r="N68" i="7"/>
  <c r="O68" i="7" s="1"/>
  <c r="N67" i="7"/>
  <c r="O67" i="7" s="1"/>
  <c r="N19" i="7"/>
  <c r="O19" i="7" s="1"/>
  <c r="N60" i="7"/>
  <c r="O60" i="7" s="1"/>
  <c r="N61" i="7"/>
  <c r="O61" i="7" s="1"/>
  <c r="N42" i="7"/>
  <c r="O42" i="7" s="1"/>
  <c r="N39" i="7"/>
  <c r="O39" i="7" s="1"/>
  <c r="N38" i="7"/>
  <c r="O38" i="7" s="1"/>
  <c r="N41" i="7"/>
  <c r="O41" i="7" s="1"/>
  <c r="N40" i="7"/>
  <c r="O40" i="7" s="1"/>
  <c r="N43" i="7"/>
  <c r="O43" i="7" s="1"/>
  <c r="I9" i="3"/>
  <c r="J10" i="3"/>
  <c r="AR5" i="3"/>
  <c r="AS5" i="3" s="1"/>
  <c r="AT5" i="3" s="1"/>
  <c r="AR4" i="3"/>
  <c r="BI64" i="3"/>
  <c r="AA8" i="3" s="1"/>
  <c r="BG64" i="3"/>
  <c r="AA9" i="3" s="1"/>
  <c r="BD64" i="3"/>
  <c r="D4" i="6"/>
  <c r="D63" i="6"/>
  <c r="N33" i="7"/>
  <c r="O33" i="7" s="1"/>
  <c r="N30" i="7"/>
  <c r="O30" i="7" s="1"/>
  <c r="N35" i="7"/>
  <c r="O35" i="7" s="1"/>
  <c r="N31" i="7"/>
  <c r="O31" i="7" s="1"/>
  <c r="N32" i="7"/>
  <c r="O32" i="7" s="1"/>
  <c r="N34" i="7"/>
  <c r="O34" i="7" s="1"/>
  <c r="N36" i="7"/>
  <c r="O36" i="7" s="1"/>
  <c r="M8" i="3"/>
  <c r="L8" i="3"/>
  <c r="N47" i="7"/>
  <c r="O47" i="7" s="1"/>
  <c r="N46" i="7"/>
  <c r="O46" i="7" s="1"/>
  <c r="N49" i="7"/>
  <c r="O49" i="7" s="1"/>
  <c r="N52" i="7"/>
  <c r="O52" i="7" s="1"/>
  <c r="N53" i="7"/>
  <c r="O53" i="7" s="1"/>
  <c r="N54" i="7"/>
  <c r="O54" i="7" s="1"/>
  <c r="N51" i="7"/>
  <c r="O51" i="7" s="1"/>
  <c r="N24" i="7"/>
  <c r="O24" i="7" s="1"/>
  <c r="N26" i="7"/>
  <c r="O26" i="7" s="1"/>
  <c r="N27" i="7"/>
  <c r="O27" i="7" s="1"/>
  <c r="N22" i="7"/>
  <c r="O22" i="7" s="1"/>
  <c r="N21" i="7"/>
  <c r="O21" i="7" s="1"/>
  <c r="N23" i="7"/>
  <c r="O23" i="7" s="1"/>
  <c r="N20" i="7"/>
  <c r="O20" i="7" s="1"/>
  <c r="N25" i="7"/>
  <c r="O25" i="7" s="1"/>
  <c r="N58" i="7"/>
  <c r="O58" i="7" s="1"/>
  <c r="N57" i="7"/>
  <c r="O57" i="7" s="1"/>
  <c r="N56" i="7"/>
  <c r="O56" i="7" s="1"/>
  <c r="D108" i="1"/>
  <c r="F109" i="1"/>
  <c r="F108" i="1"/>
  <c r="D111" i="1"/>
  <c r="D109" i="1"/>
  <c r="D110" i="1"/>
  <c r="K37" i="2"/>
  <c r="L37" i="2" s="1"/>
  <c r="M37" i="2" s="1"/>
  <c r="K53" i="2"/>
  <c r="L53" i="2" s="1"/>
  <c r="K32" i="2"/>
  <c r="L32" i="2" s="1"/>
  <c r="M32" i="2" s="1"/>
  <c r="K33" i="2"/>
  <c r="L33" i="2" s="1"/>
  <c r="M33" i="2" s="1"/>
  <c r="K45" i="2"/>
  <c r="L45" i="2" s="1"/>
  <c r="K42" i="2"/>
  <c r="L42" i="2" s="1"/>
  <c r="Q23" i="2"/>
  <c r="E226" i="1"/>
  <c r="F110" i="6" s="1"/>
  <c r="K51" i="2"/>
  <c r="L51" i="2" s="1"/>
  <c r="M51" i="2" s="1"/>
  <c r="K44" i="2"/>
  <c r="L44" i="2" s="1"/>
  <c r="M44" i="2" s="1"/>
  <c r="K49" i="2"/>
  <c r="L49" i="2" s="1"/>
  <c r="K48" i="2"/>
  <c r="L48" i="2" s="1"/>
  <c r="K38" i="2"/>
  <c r="L38" i="2" s="1"/>
  <c r="K35" i="2"/>
  <c r="L35" i="2" s="1"/>
  <c r="K34" i="2"/>
  <c r="L34" i="2" s="1"/>
  <c r="M34" i="2" s="1"/>
  <c r="K47" i="2"/>
  <c r="L47" i="2" s="1"/>
  <c r="K40" i="2"/>
  <c r="L40" i="2" s="1"/>
  <c r="AK18" i="10" l="1"/>
  <c r="AQ36" i="10" s="1"/>
  <c r="AK19" i="10"/>
  <c r="AQ35" i="10" s="1"/>
  <c r="AR35" i="10" s="1"/>
  <c r="AK15" i="10"/>
  <c r="AQ25" i="10" s="1"/>
  <c r="AR25" i="10" s="1"/>
  <c r="AK16" i="10"/>
  <c r="AQ31" i="10" s="1"/>
  <c r="AR31" i="10" s="1"/>
  <c r="AK17" i="10"/>
  <c r="AQ30" i="10" s="1"/>
  <c r="AR30" i="10" s="1"/>
  <c r="AK12" i="10"/>
  <c r="AQ18" i="10" s="1"/>
  <c r="AL14" i="10"/>
  <c r="J6" i="12"/>
  <c r="J5" i="12"/>
  <c r="Q47" i="12"/>
  <c r="P47" i="12" s="1"/>
  <c r="Q44" i="12"/>
  <c r="P44" i="12" s="1"/>
  <c r="Q41" i="12"/>
  <c r="P41" i="12" s="1"/>
  <c r="Q34" i="12"/>
  <c r="P34" i="12" s="1"/>
  <c r="Q35" i="12"/>
  <c r="P35" i="12" s="1"/>
  <c r="Q40" i="12"/>
  <c r="P40" i="12" s="1"/>
  <c r="Q50" i="12"/>
  <c r="P50" i="12" s="1"/>
  <c r="Q48" i="12"/>
  <c r="P48" i="12" s="1"/>
  <c r="Q45" i="12"/>
  <c r="P45" i="12" s="1"/>
  <c r="Q38" i="12"/>
  <c r="P38" i="12" s="1"/>
  <c r="Q39" i="12"/>
  <c r="P39" i="12" s="1"/>
  <c r="Q36" i="12"/>
  <c r="P36" i="12" s="1"/>
  <c r="Q49" i="12"/>
  <c r="P49" i="12" s="1"/>
  <c r="Q42" i="12"/>
  <c r="P42" i="12" s="1"/>
  <c r="Q43" i="12"/>
  <c r="P43" i="12" s="1"/>
  <c r="Q37" i="12"/>
  <c r="P37" i="12" s="1"/>
  <c r="Q46" i="12"/>
  <c r="P46" i="12" s="1"/>
  <c r="AZ338" i="10"/>
  <c r="AZ335" i="10"/>
  <c r="AZ336" i="10"/>
  <c r="BA326" i="10"/>
  <c r="BA332" i="10"/>
  <c r="BA330" i="10"/>
  <c r="BA335" i="10"/>
  <c r="AZ41" i="10"/>
  <c r="AK11" i="10"/>
  <c r="AQ15" i="10" s="1"/>
  <c r="AR15" i="10" s="1"/>
  <c r="AK10" i="10"/>
  <c r="AQ16" i="10" s="1"/>
  <c r="AR16" i="10" s="1"/>
  <c r="AL11" i="10"/>
  <c r="AC112" i="2"/>
  <c r="AC119" i="2" s="1"/>
  <c r="AK34" i="10"/>
  <c r="T112" i="2"/>
  <c r="T119" i="2" s="1"/>
  <c r="AL112" i="2"/>
  <c r="AL120" i="2" s="1"/>
  <c r="AI112" i="2"/>
  <c r="AI120" i="2" s="1"/>
  <c r="AF112" i="2"/>
  <c r="AF119" i="2" s="1"/>
  <c r="Z112" i="2"/>
  <c r="Z120" i="2" s="1"/>
  <c r="W112" i="2"/>
  <c r="W119" i="2" s="1"/>
  <c r="BA336" i="10"/>
  <c r="AZ339" i="10"/>
  <c r="BA44" i="10"/>
  <c r="AZ43" i="10"/>
  <c r="BA42" i="10"/>
  <c r="BA41" i="10"/>
  <c r="AZ337" i="10"/>
  <c r="BA338" i="10"/>
  <c r="BA48" i="10"/>
  <c r="BA54" i="10"/>
  <c r="BA47" i="10"/>
  <c r="BA46" i="10"/>
  <c r="BA45" i="10"/>
  <c r="BA43" i="10"/>
  <c r="BA337" i="10"/>
  <c r="BA339" i="10"/>
  <c r="Q120" i="2"/>
  <c r="Q117" i="2"/>
  <c r="Q119" i="2"/>
  <c r="AL9" i="10"/>
  <c r="M57" i="2"/>
  <c r="Q314" i="10"/>
  <c r="AZ71" i="10"/>
  <c r="Q238" i="10"/>
  <c r="R129" i="10"/>
  <c r="T129" i="10" s="1"/>
  <c r="R88" i="10"/>
  <c r="T88" i="10" s="1"/>
  <c r="Q128" i="10"/>
  <c r="Q67" i="10"/>
  <c r="Q28" i="10"/>
  <c r="R189" i="10"/>
  <c r="T189" i="10" s="1"/>
  <c r="R19" i="10"/>
  <c r="T19" i="10" s="1"/>
  <c r="Q303" i="10"/>
  <c r="R321" i="10"/>
  <c r="T321" i="10" s="1"/>
  <c r="Q33" i="10"/>
  <c r="Q348" i="10"/>
  <c r="R333" i="10"/>
  <c r="T333" i="10" s="1"/>
  <c r="Q68" i="10"/>
  <c r="R172" i="10"/>
  <c r="T172" i="10" s="1"/>
  <c r="Q369" i="10"/>
  <c r="R349" i="10"/>
  <c r="T349" i="10" s="1"/>
  <c r="Q129" i="10"/>
  <c r="Q78" i="10"/>
  <c r="Q202" i="10"/>
  <c r="R257" i="10"/>
  <c r="T257" i="10" s="1"/>
  <c r="R16" i="10"/>
  <c r="T16" i="10" s="1"/>
  <c r="Q284" i="10"/>
  <c r="R215" i="10"/>
  <c r="T215" i="10" s="1"/>
  <c r="R101" i="10"/>
  <c r="T101" i="10" s="1"/>
  <c r="R312" i="10"/>
  <c r="T312" i="10" s="1"/>
  <c r="R190" i="10"/>
  <c r="T190" i="10" s="1"/>
  <c r="R149" i="10"/>
  <c r="T149" i="10" s="1"/>
  <c r="Q317" i="10"/>
  <c r="Q134" i="10"/>
  <c r="Q138" i="10"/>
  <c r="R193" i="10"/>
  <c r="T193" i="10" s="1"/>
  <c r="Q16" i="10"/>
  <c r="Q214" i="10"/>
  <c r="R109" i="10"/>
  <c r="T109" i="10" s="1"/>
  <c r="Q59" i="10"/>
  <c r="Q301" i="10"/>
  <c r="R84" i="10"/>
  <c r="T84" i="10" s="1"/>
  <c r="R71" i="10"/>
  <c r="T71" i="10" s="1"/>
  <c r="R274" i="10"/>
  <c r="T274" i="10" s="1"/>
  <c r="Q234" i="10"/>
  <c r="Q106" i="10"/>
  <c r="R289" i="10"/>
  <c r="T289" i="10" s="1"/>
  <c r="R161" i="10"/>
  <c r="T161" i="10" s="1"/>
  <c r="R48" i="10"/>
  <c r="T48" i="10" s="1"/>
  <c r="R51" i="10"/>
  <c r="T51" i="10" s="1"/>
  <c r="Q316" i="10"/>
  <c r="Q172" i="10"/>
  <c r="R279" i="10"/>
  <c r="T279" i="10" s="1"/>
  <c r="R38" i="10"/>
  <c r="T38" i="10" s="1"/>
  <c r="Q30" i="10"/>
  <c r="Q188" i="10"/>
  <c r="R258" i="10"/>
  <c r="T258" i="10" s="1"/>
  <c r="Q111" i="10"/>
  <c r="R254" i="10"/>
  <c r="T254" i="10" s="1"/>
  <c r="Q312" i="10"/>
  <c r="R251" i="10"/>
  <c r="T251" i="10" s="1"/>
  <c r="Q58" i="10"/>
  <c r="Q199" i="10"/>
  <c r="R188" i="10"/>
  <c r="T188" i="10" s="1"/>
  <c r="R203" i="10"/>
  <c r="T203" i="10" s="1"/>
  <c r="Q170" i="10"/>
  <c r="R353" i="10"/>
  <c r="T353" i="10" s="1"/>
  <c r="R225" i="10"/>
  <c r="T225" i="10" s="1"/>
  <c r="R97" i="10"/>
  <c r="T97" i="10" s="1"/>
  <c r="Q48" i="10"/>
  <c r="Q37" i="10"/>
  <c r="Q252" i="10"/>
  <c r="Q75" i="10"/>
  <c r="R163" i="10"/>
  <c r="T163" i="10" s="1"/>
  <c r="R21" i="10"/>
  <c r="T21" i="10" s="1"/>
  <c r="R253" i="10"/>
  <c r="T253" i="10" s="1"/>
  <c r="R98" i="10"/>
  <c r="T98" i="10" s="1"/>
  <c r="R368" i="10"/>
  <c r="T368" i="10" s="1"/>
  <c r="Q145" i="10"/>
  <c r="R142" i="10"/>
  <c r="T142" i="10" s="1"/>
  <c r="Q152" i="10"/>
  <c r="R52" i="10"/>
  <c r="T52" i="10" s="1"/>
  <c r="Q91" i="10"/>
  <c r="R362" i="10"/>
  <c r="T362" i="10" s="1"/>
  <c r="R341" i="10"/>
  <c r="T341" i="10" s="1"/>
  <c r="R275" i="10"/>
  <c r="T275" i="10" s="1"/>
  <c r="R46" i="10"/>
  <c r="T46" i="10" s="1"/>
  <c r="R285" i="10"/>
  <c r="T285" i="10" s="1"/>
  <c r="Q176" i="10"/>
  <c r="Q326" i="10"/>
  <c r="R132" i="10"/>
  <c r="T132" i="10" s="1"/>
  <c r="R244" i="10"/>
  <c r="T244" i="10" s="1"/>
  <c r="R318" i="10"/>
  <c r="T318" i="10" s="1"/>
  <c r="Q149" i="10"/>
  <c r="Q55" i="10"/>
  <c r="Q83" i="10"/>
  <c r="Q217" i="10"/>
  <c r="R61" i="10"/>
  <c r="T61" i="10" s="1"/>
  <c r="R91" i="10"/>
  <c r="T91" i="10" s="1"/>
  <c r="R23" i="10"/>
  <c r="T23" i="10" s="1"/>
  <c r="R14" i="10"/>
  <c r="T14" i="10" s="1"/>
  <c r="R93" i="10"/>
  <c r="T93" i="10" s="1"/>
  <c r="R191" i="10"/>
  <c r="T191" i="10" s="1"/>
  <c r="R307" i="10"/>
  <c r="T307" i="10" s="1"/>
  <c r="Q94" i="10"/>
  <c r="Q180" i="10"/>
  <c r="Q280" i="10"/>
  <c r="Q354" i="10"/>
  <c r="R110" i="10"/>
  <c r="T110" i="10" s="1"/>
  <c r="R174" i="10"/>
  <c r="T174" i="10" s="1"/>
  <c r="R222" i="10"/>
  <c r="T222" i="10" s="1"/>
  <c r="R278" i="10"/>
  <c r="T278" i="10" s="1"/>
  <c r="Q241" i="10"/>
  <c r="Q251" i="10"/>
  <c r="Q239" i="10"/>
  <c r="Q147" i="10"/>
  <c r="Q173" i="10"/>
  <c r="R344" i="10"/>
  <c r="T344" i="10" s="1"/>
  <c r="R280" i="10"/>
  <c r="T280" i="10" s="1"/>
  <c r="R216" i="10"/>
  <c r="T216" i="10" s="1"/>
  <c r="R140" i="10"/>
  <c r="T140" i="10" s="1"/>
  <c r="Q358" i="10"/>
  <c r="Q256" i="10"/>
  <c r="Q148" i="10"/>
  <c r="R309" i="10"/>
  <c r="T309" i="10" s="1"/>
  <c r="R175" i="10"/>
  <c r="T175" i="10" s="1"/>
  <c r="R58" i="10"/>
  <c r="T58" i="10" s="1"/>
  <c r="R34" i="10"/>
  <c r="T34" i="10" s="1"/>
  <c r="Q12" i="10"/>
  <c r="R53" i="10"/>
  <c r="T53" i="10" s="1"/>
  <c r="Q70" i="10"/>
  <c r="Q41" i="10"/>
  <c r="R131" i="10"/>
  <c r="T131" i="10" s="1"/>
  <c r="R195" i="10"/>
  <c r="T195" i="10" s="1"/>
  <c r="R247" i="10"/>
  <c r="T247" i="10" s="1"/>
  <c r="R301" i="10"/>
  <c r="T301" i="10" s="1"/>
  <c r="R365" i="10"/>
  <c r="T365" i="10" s="1"/>
  <c r="Q108" i="10"/>
  <c r="Q150" i="10"/>
  <c r="Q192" i="10"/>
  <c r="Q236" i="10"/>
  <c r="Q268" i="10"/>
  <c r="Q300" i="10"/>
  <c r="Q332" i="10"/>
  <c r="Q364" i="10"/>
  <c r="R82" i="10"/>
  <c r="T82" i="10" s="1"/>
  <c r="R35" i="10"/>
  <c r="T35" i="10" s="1"/>
  <c r="R67" i="10"/>
  <c r="T67" i="10" s="1"/>
  <c r="Q32" i="10"/>
  <c r="Q64" i="10"/>
  <c r="R32" i="10"/>
  <c r="T32" i="10" s="1"/>
  <c r="R64" i="10"/>
  <c r="T64" i="10" s="1"/>
  <c r="R81" i="10"/>
  <c r="T81" i="10" s="1"/>
  <c r="R113" i="10"/>
  <c r="T113" i="10" s="1"/>
  <c r="R145" i="10"/>
  <c r="T145" i="10" s="1"/>
  <c r="R177" i="10"/>
  <c r="T177" i="10" s="1"/>
  <c r="R209" i="10"/>
  <c r="T209" i="10" s="1"/>
  <c r="R241" i="10"/>
  <c r="T241" i="10" s="1"/>
  <c r="R273" i="10"/>
  <c r="T273" i="10" s="1"/>
  <c r="R305" i="10"/>
  <c r="T305" i="10" s="1"/>
  <c r="R337" i="10"/>
  <c r="T337" i="10" s="1"/>
  <c r="R369" i="10"/>
  <c r="T369" i="10" s="1"/>
  <c r="Q90" i="10"/>
  <c r="Q122" i="10"/>
  <c r="Q154" i="10"/>
  <c r="Q186" i="10"/>
  <c r="Q218" i="10"/>
  <c r="Q262" i="10"/>
  <c r="R199" i="10"/>
  <c r="T199" i="10" s="1"/>
  <c r="Q57" i="10"/>
  <c r="R359" i="10"/>
  <c r="T359" i="10" s="1"/>
  <c r="Q230" i="10"/>
  <c r="Q346" i="10"/>
  <c r="R160" i="10"/>
  <c r="T160" i="10" s="1"/>
  <c r="R260" i="10"/>
  <c r="T260" i="10" s="1"/>
  <c r="R340" i="10"/>
  <c r="T340" i="10" s="1"/>
  <c r="Q277" i="10"/>
  <c r="Q119" i="10"/>
  <c r="Q203" i="10"/>
  <c r="Q345" i="10"/>
  <c r="R219" i="10"/>
  <c r="T219" i="10" s="1"/>
  <c r="Q49" i="10"/>
  <c r="R33" i="10"/>
  <c r="T33" i="10" s="1"/>
  <c r="R36" i="10"/>
  <c r="T36" i="10" s="1"/>
  <c r="R123" i="10"/>
  <c r="T123" i="10" s="1"/>
  <c r="R235" i="10"/>
  <c r="T235" i="10" s="1"/>
  <c r="R319" i="10"/>
  <c r="T319" i="10" s="1"/>
  <c r="Q110" i="10"/>
  <c r="Q222" i="10"/>
  <c r="Q302" i="10"/>
  <c r="Q366" i="10"/>
  <c r="R126" i="10"/>
  <c r="T126" i="10" s="1"/>
  <c r="R182" i="10"/>
  <c r="T182" i="10" s="1"/>
  <c r="R238" i="10"/>
  <c r="T238" i="10" s="1"/>
  <c r="Q139" i="10"/>
  <c r="Q209" i="10"/>
  <c r="Q155" i="10"/>
  <c r="Q143" i="10"/>
  <c r="Q333" i="10"/>
  <c r="Q141" i="10"/>
  <c r="R328" i="10"/>
  <c r="T328" i="10" s="1"/>
  <c r="R268" i="10"/>
  <c r="T268" i="10" s="1"/>
  <c r="R194" i="10"/>
  <c r="T194" i="10" s="1"/>
  <c r="R108" i="10"/>
  <c r="T108" i="10" s="1"/>
  <c r="Q342" i="10"/>
  <c r="Q242" i="10"/>
  <c r="Q92" i="10"/>
  <c r="R271" i="10"/>
  <c r="T271" i="10" s="1"/>
  <c r="R157" i="10"/>
  <c r="T157" i="10" s="1"/>
  <c r="R12" i="10"/>
  <c r="T12" i="10" s="1"/>
  <c r="R20" i="10"/>
  <c r="T20" i="10" s="1"/>
  <c r="R49" i="10"/>
  <c r="T49" i="10" s="1"/>
  <c r="Q18" i="10"/>
  <c r="R18" i="10"/>
  <c r="T18" i="10" s="1"/>
  <c r="Q77" i="10"/>
  <c r="R151" i="10"/>
  <c r="T151" i="10" s="1"/>
  <c r="R205" i="10"/>
  <c r="T205" i="10" s="1"/>
  <c r="R259" i="10"/>
  <c r="T259" i="10" s="1"/>
  <c r="R323" i="10"/>
  <c r="T323" i="10" s="1"/>
  <c r="Q27" i="10"/>
  <c r="Q118" i="10"/>
  <c r="Q160" i="10"/>
  <c r="Q204" i="10"/>
  <c r="Q244" i="10"/>
  <c r="Q276" i="10"/>
  <c r="Q308" i="10"/>
  <c r="Q340" i="10"/>
  <c r="R10" i="10"/>
  <c r="T10" i="10" s="1"/>
  <c r="R90" i="10"/>
  <c r="T90" i="10" s="1"/>
  <c r="R43" i="10"/>
  <c r="T43" i="10" s="1"/>
  <c r="R75" i="10"/>
  <c r="T75" i="10" s="1"/>
  <c r="Q40" i="10"/>
  <c r="Q72" i="10"/>
  <c r="R40" i="10"/>
  <c r="T40" i="10" s="1"/>
  <c r="R72" i="10"/>
  <c r="T72" i="10" s="1"/>
  <c r="R89" i="10"/>
  <c r="T89" i="10" s="1"/>
  <c r="R121" i="10"/>
  <c r="T121" i="10" s="1"/>
  <c r="R153" i="10"/>
  <c r="T153" i="10" s="1"/>
  <c r="R185" i="10"/>
  <c r="T185" i="10" s="1"/>
  <c r="R217" i="10"/>
  <c r="T217" i="10" s="1"/>
  <c r="R249" i="10"/>
  <c r="T249" i="10" s="1"/>
  <c r="R281" i="10"/>
  <c r="T281" i="10" s="1"/>
  <c r="R313" i="10"/>
  <c r="T313" i="10" s="1"/>
  <c r="R345" i="10"/>
  <c r="T345" i="10" s="1"/>
  <c r="Q35" i="10"/>
  <c r="Q98" i="10"/>
  <c r="Q130" i="10"/>
  <c r="Q162" i="10"/>
  <c r="Q194" i="10"/>
  <c r="Q226" i="10"/>
  <c r="Q232" i="10"/>
  <c r="R30" i="10"/>
  <c r="T30" i="10" s="1"/>
  <c r="Q210" i="10"/>
  <c r="Q146" i="10"/>
  <c r="Q82" i="10"/>
  <c r="R329" i="10"/>
  <c r="T329" i="10" s="1"/>
  <c r="R265" i="10"/>
  <c r="T265" i="10" s="1"/>
  <c r="R201" i="10"/>
  <c r="T201" i="10" s="1"/>
  <c r="R137" i="10"/>
  <c r="T137" i="10" s="1"/>
  <c r="Q65" i="10"/>
  <c r="R24" i="10"/>
  <c r="T24" i="10" s="1"/>
  <c r="Q24" i="10"/>
  <c r="R27" i="10"/>
  <c r="T27" i="10" s="1"/>
  <c r="Q356" i="10"/>
  <c r="Q292" i="10"/>
  <c r="Q224" i="10"/>
  <c r="Q140" i="10"/>
  <c r="R343" i="10"/>
  <c r="T343" i="10" s="1"/>
  <c r="R237" i="10"/>
  <c r="T237" i="10" s="1"/>
  <c r="R119" i="10"/>
  <c r="T119" i="10" s="1"/>
  <c r="Q38" i="10"/>
  <c r="Q26" i="10"/>
  <c r="R83" i="10"/>
  <c r="T83" i="10" s="1"/>
  <c r="R347" i="10"/>
  <c r="T347" i="10" s="1"/>
  <c r="Q286" i="10"/>
  <c r="R152" i="10"/>
  <c r="T152" i="10" s="1"/>
  <c r="R304" i="10"/>
  <c r="T304" i="10" s="1"/>
  <c r="Q205" i="10"/>
  <c r="Q271" i="10"/>
  <c r="Q337" i="10"/>
  <c r="R214" i="10"/>
  <c r="T214" i="10" s="1"/>
  <c r="R94" i="10"/>
  <c r="T94" i="10" s="1"/>
  <c r="Q258" i="10"/>
  <c r="Q43" i="10"/>
  <c r="R179" i="10"/>
  <c r="T179" i="10" s="1"/>
  <c r="Q22" i="10"/>
  <c r="R115" i="10"/>
  <c r="T115" i="10" s="1"/>
  <c r="Q169" i="10"/>
  <c r="Q357" i="10"/>
  <c r="R308" i="10"/>
  <c r="T308" i="10" s="1"/>
  <c r="R104" i="10"/>
  <c r="T104" i="10" s="1"/>
  <c r="Q126" i="10"/>
  <c r="R47" i="10"/>
  <c r="T47" i="10" s="1"/>
  <c r="Q178" i="10"/>
  <c r="Q114" i="10"/>
  <c r="R361" i="10"/>
  <c r="T361" i="10" s="1"/>
  <c r="R297" i="10"/>
  <c r="T297" i="10" s="1"/>
  <c r="R233" i="10"/>
  <c r="T233" i="10" s="1"/>
  <c r="R169" i="10"/>
  <c r="T169" i="10" s="1"/>
  <c r="R105" i="10"/>
  <c r="T105" i="10" s="1"/>
  <c r="R56" i="10"/>
  <c r="T56" i="10" s="1"/>
  <c r="Q56" i="10"/>
  <c r="R59" i="10"/>
  <c r="T59" i="10" s="1"/>
  <c r="Q69" i="10"/>
  <c r="Q324" i="10"/>
  <c r="Q260" i="10"/>
  <c r="Q182" i="10"/>
  <c r="Q96" i="10"/>
  <c r="R291" i="10"/>
  <c r="T291" i="10" s="1"/>
  <c r="R173" i="10"/>
  <c r="T173" i="10" s="1"/>
  <c r="R60" i="10"/>
  <c r="T60" i="10" s="1"/>
  <c r="R41" i="10"/>
  <c r="T41" i="10" s="1"/>
  <c r="R69" i="10"/>
  <c r="T69" i="10" s="1"/>
  <c r="R197" i="10"/>
  <c r="T197" i="10" s="1"/>
  <c r="Q168" i="10"/>
  <c r="R86" i="10"/>
  <c r="T86" i="10" s="1"/>
  <c r="R226" i="10"/>
  <c r="T226" i="10" s="1"/>
  <c r="R360" i="10"/>
  <c r="T360" i="10" s="1"/>
  <c r="Q339" i="10"/>
  <c r="Q81" i="10"/>
  <c r="R270" i="10"/>
  <c r="T270" i="10" s="1"/>
  <c r="R150" i="10"/>
  <c r="T150" i="10" s="1"/>
  <c r="Q344" i="10"/>
  <c r="Q166" i="10"/>
  <c r="R263" i="10"/>
  <c r="T263" i="10" s="1"/>
  <c r="R79" i="10"/>
  <c r="T79" i="10" s="1"/>
  <c r="Q20" i="10"/>
  <c r="Q355" i="10"/>
  <c r="Q287" i="10"/>
  <c r="Q101" i="10"/>
  <c r="R202" i="10"/>
  <c r="T202" i="10" s="1"/>
  <c r="Q306" i="10"/>
  <c r="R261" i="10"/>
  <c r="T261" i="10" s="1"/>
  <c r="Q86" i="10"/>
  <c r="R355" i="10"/>
  <c r="T355" i="10" s="1"/>
  <c r="R311" i="10"/>
  <c r="T311" i="10" s="1"/>
  <c r="R269" i="10"/>
  <c r="T269" i="10" s="1"/>
  <c r="R227" i="10"/>
  <c r="T227" i="10" s="1"/>
  <c r="R183" i="10"/>
  <c r="T183" i="10" s="1"/>
  <c r="R141" i="10"/>
  <c r="T141" i="10" s="1"/>
  <c r="R87" i="10"/>
  <c r="T87" i="10" s="1"/>
  <c r="R50" i="10"/>
  <c r="T50" i="10" s="1"/>
  <c r="Q60" i="10"/>
  <c r="R63" i="10"/>
  <c r="T63" i="10" s="1"/>
  <c r="R37" i="10"/>
  <c r="T37" i="10" s="1"/>
  <c r="Q42" i="10"/>
  <c r="R45" i="10"/>
  <c r="T45" i="10" s="1"/>
  <c r="R42" i="10"/>
  <c r="T42" i="10" s="1"/>
  <c r="R117" i="10"/>
  <c r="T117" i="10" s="1"/>
  <c r="R231" i="10"/>
  <c r="T231" i="10" s="1"/>
  <c r="R327" i="10"/>
  <c r="T327" i="10" s="1"/>
  <c r="Q112" i="10"/>
  <c r="Q228" i="10"/>
  <c r="Q298" i="10"/>
  <c r="Q370" i="10"/>
  <c r="R130" i="10"/>
  <c r="T130" i="10" s="1"/>
  <c r="R184" i="10"/>
  <c r="T184" i="10" s="1"/>
  <c r="R236" i="10"/>
  <c r="T236" i="10" s="1"/>
  <c r="R296" i="10"/>
  <c r="T296" i="10" s="1"/>
  <c r="R336" i="10"/>
  <c r="T336" i="10" s="1"/>
  <c r="R76" i="10"/>
  <c r="T76" i="10" s="1"/>
  <c r="Q269" i="10"/>
  <c r="Q243" i="10"/>
  <c r="Q175" i="10"/>
  <c r="Q367" i="10"/>
  <c r="Q113" i="10"/>
  <c r="Q273" i="10"/>
  <c r="Q331" i="10"/>
  <c r="R246" i="10"/>
  <c r="T246" i="10" s="1"/>
  <c r="R206" i="10"/>
  <c r="T206" i="10" s="1"/>
  <c r="R158" i="10"/>
  <c r="T158" i="10" s="1"/>
  <c r="R118" i="10"/>
  <c r="T118" i="10" s="1"/>
  <c r="Q61" i="10"/>
  <c r="Q322" i="10"/>
  <c r="Q270" i="10"/>
  <c r="Q208" i="10"/>
  <c r="Q124" i="10"/>
  <c r="R363" i="10"/>
  <c r="T363" i="10" s="1"/>
  <c r="R293" i="10"/>
  <c r="T293" i="10" s="1"/>
  <c r="R207" i="10"/>
  <c r="T207" i="10" s="1"/>
  <c r="R135" i="10"/>
  <c r="T135" i="10" s="1"/>
  <c r="Q25" i="10"/>
  <c r="Q44" i="10"/>
  <c r="R15" i="10"/>
  <c r="T15" i="10" s="1"/>
  <c r="R26" i="10"/>
  <c r="T26" i="10" s="1"/>
  <c r="R167" i="10"/>
  <c r="T167" i="10" s="1"/>
  <c r="R13" i="10"/>
  <c r="T13" i="10" s="1"/>
  <c r="Q297" i="10"/>
  <c r="Q323" i="10"/>
  <c r="Q247" i="10"/>
  <c r="Q291" i="10"/>
  <c r="Q189" i="10"/>
  <c r="R350" i="10"/>
  <c r="T350" i="10" s="1"/>
  <c r="R298" i="10"/>
  <c r="T298" i="10" s="1"/>
  <c r="R218" i="10"/>
  <c r="T218" i="10" s="1"/>
  <c r="R146" i="10"/>
  <c r="T146" i="10" s="1"/>
  <c r="Q45" i="10"/>
  <c r="Q266" i="10"/>
  <c r="Q156" i="10"/>
  <c r="R339" i="10"/>
  <c r="T339" i="10" s="1"/>
  <c r="R133" i="10"/>
  <c r="T133" i="10" s="1"/>
  <c r="R25" i="10"/>
  <c r="T25" i="10" s="1"/>
  <c r="Q198" i="10"/>
  <c r="Q282" i="10"/>
  <c r="Q100" i="10"/>
  <c r="R155" i="10"/>
  <c r="T155" i="10" s="1"/>
  <c r="Q74" i="10"/>
  <c r="R171" i="10"/>
  <c r="T171" i="10" s="1"/>
  <c r="R315" i="10"/>
  <c r="T315" i="10" s="1"/>
  <c r="Q102" i="10"/>
  <c r="Q200" i="10"/>
  <c r="Q288" i="10"/>
  <c r="Q362" i="10"/>
  <c r="R116" i="10"/>
  <c r="T116" i="10" s="1"/>
  <c r="R176" i="10"/>
  <c r="T176" i="10" s="1"/>
  <c r="R232" i="10"/>
  <c r="T232" i="10" s="1"/>
  <c r="R286" i="10"/>
  <c r="T286" i="10" s="1"/>
  <c r="R330" i="10"/>
  <c r="T330" i="10" s="1"/>
  <c r="Q15" i="10"/>
  <c r="Q229" i="10"/>
  <c r="Q171" i="10"/>
  <c r="Q159" i="10"/>
  <c r="Q327" i="10"/>
  <c r="Q89" i="10"/>
  <c r="Q257" i="10"/>
  <c r="Q211" i="10"/>
  <c r="Q36" i="10"/>
  <c r="R143" i="10"/>
  <c r="T143" i="10" s="1"/>
  <c r="R54" i="10"/>
  <c r="T54" i="10" s="1"/>
  <c r="R57" i="10"/>
  <c r="T57" i="10" s="1"/>
  <c r="R55" i="10"/>
  <c r="T55" i="10" s="1"/>
  <c r="Q62" i="10"/>
  <c r="R66" i="10"/>
  <c r="T66" i="10" s="1"/>
  <c r="R107" i="10"/>
  <c r="T107" i="10" s="1"/>
  <c r="R165" i="10"/>
  <c r="T165" i="10" s="1"/>
  <c r="R221" i="10"/>
  <c r="T221" i="10" s="1"/>
  <c r="R277" i="10"/>
  <c r="T277" i="10" s="1"/>
  <c r="R335" i="10"/>
  <c r="T335" i="10" s="1"/>
  <c r="Q80" i="10"/>
  <c r="Q136" i="10"/>
  <c r="Q196" i="10"/>
  <c r="Q248" i="10"/>
  <c r="Q290" i="10"/>
  <c r="Q334" i="10"/>
  <c r="Q21" i="10"/>
  <c r="R102" i="10"/>
  <c r="T102" i="10" s="1"/>
  <c r="R134" i="10"/>
  <c r="T134" i="10" s="1"/>
  <c r="R166" i="10"/>
  <c r="T166" i="10" s="1"/>
  <c r="R198" i="10"/>
  <c r="T198" i="10" s="1"/>
  <c r="R230" i="10"/>
  <c r="T230" i="10" s="1"/>
  <c r="R262" i="10"/>
  <c r="T262" i="10" s="1"/>
  <c r="Q235" i="10"/>
  <c r="Q305" i="10"/>
  <c r="Q177" i="10"/>
  <c r="Q347" i="10"/>
  <c r="Q335" i="10"/>
  <c r="Q207" i="10"/>
  <c r="Q79" i="10"/>
  <c r="Q365" i="10"/>
  <c r="Q237" i="10"/>
  <c r="Q109" i="10"/>
  <c r="R352" i="10"/>
  <c r="T352" i="10" s="1"/>
  <c r="R320" i="10"/>
  <c r="T320" i="10" s="1"/>
  <c r="R288" i="10"/>
  <c r="T288" i="10" s="1"/>
  <c r="R248" i="10"/>
  <c r="T248" i="10" s="1"/>
  <c r="R204" i="10"/>
  <c r="T204" i="10" s="1"/>
  <c r="R162" i="10"/>
  <c r="T162" i="10" s="1"/>
  <c r="R120" i="10"/>
  <c r="T120" i="10" s="1"/>
  <c r="Q53" i="10"/>
  <c r="Q328" i="10"/>
  <c r="Q272" i="10"/>
  <c r="Q206" i="10"/>
  <c r="Q132" i="10"/>
  <c r="R367" i="10"/>
  <c r="T367" i="10" s="1"/>
  <c r="R287" i="10"/>
  <c r="T287" i="10" s="1"/>
  <c r="R213" i="10"/>
  <c r="T213" i="10" s="1"/>
  <c r="R139" i="10"/>
  <c r="T139" i="10" s="1"/>
  <c r="Q17" i="10"/>
  <c r="Q52" i="10"/>
  <c r="R17" i="10"/>
  <c r="T17" i="10" s="1"/>
  <c r="Q54" i="10"/>
  <c r="R65" i="10"/>
  <c r="T65" i="10" s="1"/>
  <c r="R31" i="10"/>
  <c r="T31" i="10" s="1"/>
  <c r="R73" i="10"/>
  <c r="T73" i="10" s="1"/>
  <c r="Q50" i="10"/>
  <c r="R28" i="10"/>
  <c r="T28" i="10" s="1"/>
  <c r="R70" i="10"/>
  <c r="T70" i="10" s="1"/>
  <c r="R99" i="10"/>
  <c r="T99" i="10" s="1"/>
  <c r="R111" i="10"/>
  <c r="T111" i="10" s="1"/>
  <c r="R303" i="10"/>
  <c r="T303" i="10" s="1"/>
  <c r="Q164" i="10"/>
  <c r="R239" i="10"/>
  <c r="T239" i="10" s="1"/>
  <c r="R103" i="10"/>
  <c r="T103" i="10" s="1"/>
  <c r="Q34" i="10"/>
  <c r="R74" i="10"/>
  <c r="T74" i="10" s="1"/>
  <c r="R243" i="10"/>
  <c r="T243" i="10" s="1"/>
  <c r="Q19" i="10"/>
  <c r="BA189" i="10"/>
  <c r="BD188" i="10" s="1"/>
  <c r="Q14" i="10"/>
  <c r="Q46" i="10"/>
  <c r="R62" i="10"/>
  <c r="T62" i="10" s="1"/>
  <c r="R95" i="10"/>
  <c r="T95" i="10" s="1"/>
  <c r="R159" i="10"/>
  <c r="T159" i="10" s="1"/>
  <c r="R223" i="10"/>
  <c r="T223" i="10" s="1"/>
  <c r="R267" i="10"/>
  <c r="T267" i="10" s="1"/>
  <c r="R317" i="10"/>
  <c r="T317" i="10" s="1"/>
  <c r="R357" i="10"/>
  <c r="T357" i="10" s="1"/>
  <c r="Q88" i="10"/>
  <c r="Q142" i="10"/>
  <c r="Q184" i="10"/>
  <c r="Q220" i="10"/>
  <c r="Q264" i="10"/>
  <c r="Q296" i="10"/>
  <c r="Q320" i="10"/>
  <c r="Q350" i="10"/>
  <c r="Q13" i="10"/>
  <c r="R80" i="10"/>
  <c r="T80" i="10" s="1"/>
  <c r="R106" i="10"/>
  <c r="T106" i="10" s="1"/>
  <c r="R124" i="10"/>
  <c r="T124" i="10" s="1"/>
  <c r="R144" i="10"/>
  <c r="T144" i="10" s="1"/>
  <c r="R164" i="10"/>
  <c r="T164" i="10" s="1"/>
  <c r="R180" i="10"/>
  <c r="T180" i="10" s="1"/>
  <c r="R200" i="10"/>
  <c r="T200" i="10" s="1"/>
  <c r="R220" i="10"/>
  <c r="T220" i="10" s="1"/>
  <c r="R240" i="10"/>
  <c r="T240" i="10" s="1"/>
  <c r="R256" i="10"/>
  <c r="T256" i="10" s="1"/>
  <c r="R276" i="10"/>
  <c r="T276" i="10" s="1"/>
  <c r="R292" i="10"/>
  <c r="T292" i="10" s="1"/>
  <c r="R306" i="10"/>
  <c r="T306" i="10" s="1"/>
  <c r="R322" i="10"/>
  <c r="T322" i="10" s="1"/>
  <c r="R334" i="10"/>
  <c r="T334" i="10" s="1"/>
  <c r="R348" i="10"/>
  <c r="T348" i="10" s="1"/>
  <c r="R364" i="10"/>
  <c r="T364" i="10" s="1"/>
  <c r="Q85" i="10"/>
  <c r="Q133" i="10"/>
  <c r="Q197" i="10"/>
  <c r="Q253" i="10"/>
  <c r="Q309" i="10"/>
  <c r="Q71" i="10"/>
  <c r="Q219" i="10"/>
  <c r="Q23" i="10"/>
  <c r="Q127" i="10"/>
  <c r="Q183" i="10"/>
  <c r="Q231" i="10"/>
  <c r="Q295" i="10"/>
  <c r="Q351" i="10"/>
  <c r="Q179" i="10"/>
  <c r="R11" i="10"/>
  <c r="T11" i="10" s="1"/>
  <c r="Q105" i="10"/>
  <c r="Q161" i="10"/>
  <c r="Q225" i="10"/>
  <c r="Q281" i="10"/>
  <c r="Q329" i="10"/>
  <c r="Q115" i="10"/>
  <c r="Q283" i="10"/>
  <c r="R29" i="10"/>
  <c r="T29" i="10" s="1"/>
  <c r="Q66" i="10"/>
  <c r="R68" i="10"/>
  <c r="T68" i="10" s="1"/>
  <c r="R125" i="10"/>
  <c r="T125" i="10" s="1"/>
  <c r="R181" i="10"/>
  <c r="T181" i="10" s="1"/>
  <c r="R229" i="10"/>
  <c r="T229" i="10" s="1"/>
  <c r="R283" i="10"/>
  <c r="T283" i="10" s="1"/>
  <c r="R325" i="10"/>
  <c r="T325" i="10" s="1"/>
  <c r="Q11" i="10"/>
  <c r="Q104" i="10"/>
  <c r="Q144" i="10"/>
  <c r="Q190" i="10"/>
  <c r="Q240" i="10"/>
  <c r="Q274" i="10"/>
  <c r="Q304" i="10"/>
  <c r="Q330" i="10"/>
  <c r="Q352" i="10"/>
  <c r="Q29" i="10"/>
  <c r="R92" i="10"/>
  <c r="T92" i="10" s="1"/>
  <c r="R112" i="10"/>
  <c r="T112" i="10" s="1"/>
  <c r="R128" i="10"/>
  <c r="T128" i="10" s="1"/>
  <c r="R148" i="10"/>
  <c r="T148" i="10" s="1"/>
  <c r="R168" i="10"/>
  <c r="T168" i="10" s="1"/>
  <c r="R186" i="10"/>
  <c r="T186" i="10" s="1"/>
  <c r="R208" i="10"/>
  <c r="T208" i="10" s="1"/>
  <c r="R224" i="10"/>
  <c r="T224" i="10" s="1"/>
  <c r="R242" i="10"/>
  <c r="T242" i="10" s="1"/>
  <c r="R264" i="10"/>
  <c r="T264" i="10" s="1"/>
  <c r="R39" i="10"/>
  <c r="T39" i="10" s="1"/>
  <c r="Q73" i="10"/>
  <c r="R187" i="10"/>
  <c r="T187" i="10" s="1"/>
  <c r="R295" i="10"/>
  <c r="T295" i="10" s="1"/>
  <c r="Q51" i="10"/>
  <c r="Q158" i="10"/>
  <c r="Q246" i="10"/>
  <c r="Q310" i="10"/>
  <c r="Q360" i="10"/>
  <c r="R96" i="10"/>
  <c r="T96" i="10" s="1"/>
  <c r="R136" i="10"/>
  <c r="T136" i="10" s="1"/>
  <c r="R170" i="10"/>
  <c r="T170" i="10" s="1"/>
  <c r="R210" i="10"/>
  <c r="T210" i="10" s="1"/>
  <c r="R250" i="10"/>
  <c r="T250" i="10" s="1"/>
  <c r="R282" i="10"/>
  <c r="T282" i="10" s="1"/>
  <c r="R300" i="10"/>
  <c r="T300" i="10" s="1"/>
  <c r="R316" i="10"/>
  <c r="T316" i="10" s="1"/>
  <c r="R338" i="10"/>
  <c r="T338" i="10" s="1"/>
  <c r="R356" i="10"/>
  <c r="T356" i="10" s="1"/>
  <c r="Q47" i="10"/>
  <c r="Q157" i="10"/>
  <c r="Q221" i="10"/>
  <c r="Q293" i="10"/>
  <c r="Q99" i="10"/>
  <c r="Q315" i="10"/>
  <c r="Q103" i="10"/>
  <c r="Q191" i="10"/>
  <c r="Q263" i="10"/>
  <c r="Q343" i="10"/>
  <c r="Q63" i="10"/>
  <c r="Q153" i="10"/>
  <c r="Q233" i="10"/>
  <c r="Q313" i="10"/>
  <c r="Q39" i="10"/>
  <c r="Q307" i="10"/>
  <c r="R85" i="10"/>
  <c r="T85" i="10" s="1"/>
  <c r="R100" i="10"/>
  <c r="T100" i="10" s="1"/>
  <c r="R178" i="10"/>
  <c r="T178" i="10" s="1"/>
  <c r="R212" i="10"/>
  <c r="T212" i="10" s="1"/>
  <c r="R284" i="10"/>
  <c r="T284" i="10" s="1"/>
  <c r="R324" i="10"/>
  <c r="T324" i="10" s="1"/>
  <c r="R342" i="10"/>
  <c r="T342" i="10" s="1"/>
  <c r="Q93" i="10"/>
  <c r="Q245" i="10"/>
  <c r="Q123" i="10"/>
  <c r="Q135" i="10"/>
  <c r="Q215" i="10"/>
  <c r="Q359" i="10"/>
  <c r="Q275" i="10"/>
  <c r="Q185" i="10"/>
  <c r="Q321" i="10"/>
  <c r="Q163" i="10"/>
  <c r="R22" i="10"/>
  <c r="T22" i="10" s="1"/>
  <c r="R245" i="10"/>
  <c r="T245" i="10" s="1"/>
  <c r="R331" i="10"/>
  <c r="T331" i="10" s="1"/>
  <c r="Q212" i="10"/>
  <c r="Q336" i="10"/>
  <c r="Q76" i="10"/>
  <c r="R154" i="10"/>
  <c r="T154" i="10" s="1"/>
  <c r="R192" i="10"/>
  <c r="T192" i="10" s="1"/>
  <c r="R266" i="10"/>
  <c r="T266" i="10" s="1"/>
  <c r="R310" i="10"/>
  <c r="T310" i="10" s="1"/>
  <c r="R326" i="10"/>
  <c r="T326" i="10" s="1"/>
  <c r="R366" i="10"/>
  <c r="T366" i="10" s="1"/>
  <c r="Q181" i="10"/>
  <c r="Q261" i="10"/>
  <c r="Q195" i="10"/>
  <c r="Q151" i="10"/>
  <c r="Q223" i="10"/>
  <c r="Q107" i="10"/>
  <c r="Q121" i="10"/>
  <c r="Q193" i="10"/>
  <c r="Q353" i="10"/>
  <c r="R44" i="10"/>
  <c r="T44" i="10" s="1"/>
  <c r="R147" i="10"/>
  <c r="T147" i="10" s="1"/>
  <c r="R255" i="10"/>
  <c r="T255" i="10" s="1"/>
  <c r="R351" i="10"/>
  <c r="T351" i="10" s="1"/>
  <c r="Q120" i="10"/>
  <c r="Q216" i="10"/>
  <c r="Q294" i="10"/>
  <c r="Q338" i="10"/>
  <c r="R78" i="10"/>
  <c r="T78" i="10" s="1"/>
  <c r="R122" i="10"/>
  <c r="T122" i="10" s="1"/>
  <c r="R156" i="10"/>
  <c r="T156" i="10" s="1"/>
  <c r="R196" i="10"/>
  <c r="T196" i="10" s="1"/>
  <c r="R234" i="10"/>
  <c r="T234" i="10" s="1"/>
  <c r="R272" i="10"/>
  <c r="T272" i="10" s="1"/>
  <c r="R294" i="10"/>
  <c r="T294" i="10" s="1"/>
  <c r="R314" i="10"/>
  <c r="T314" i="10" s="1"/>
  <c r="R332" i="10"/>
  <c r="T332" i="10" s="1"/>
  <c r="R354" i="10"/>
  <c r="T354" i="10" s="1"/>
  <c r="R370" i="10"/>
  <c r="T370" i="10" s="1"/>
  <c r="Q125" i="10"/>
  <c r="Q213" i="10"/>
  <c r="Q285" i="10"/>
  <c r="Q349" i="10"/>
  <c r="Q267" i="10"/>
  <c r="Q95" i="10"/>
  <c r="Q167" i="10"/>
  <c r="Q255" i="10"/>
  <c r="Q319" i="10"/>
  <c r="Q131" i="10"/>
  <c r="Q31" i="10"/>
  <c r="Q137" i="10"/>
  <c r="Q201" i="10"/>
  <c r="Q289" i="10"/>
  <c r="Q361" i="10"/>
  <c r="Q259" i="10"/>
  <c r="Q227" i="10"/>
  <c r="R77" i="10"/>
  <c r="T77" i="10" s="1"/>
  <c r="R211" i="10"/>
  <c r="T211" i="10" s="1"/>
  <c r="R299" i="10"/>
  <c r="T299" i="10" s="1"/>
  <c r="Q84" i="10"/>
  <c r="Q174" i="10"/>
  <c r="Q254" i="10"/>
  <c r="Q318" i="10"/>
  <c r="Q368" i="10"/>
  <c r="R138" i="10"/>
  <c r="T138" i="10" s="1"/>
  <c r="R252" i="10"/>
  <c r="T252" i="10" s="1"/>
  <c r="R302" i="10"/>
  <c r="T302" i="10" s="1"/>
  <c r="R358" i="10"/>
  <c r="T358" i="10" s="1"/>
  <c r="Q165" i="10"/>
  <c r="Q325" i="10"/>
  <c r="Q363" i="10"/>
  <c r="Q279" i="10"/>
  <c r="Q97" i="10"/>
  <c r="Q249" i="10"/>
  <c r="R127" i="10"/>
  <c r="T127" i="10" s="1"/>
  <c r="Q116" i="10"/>
  <c r="Q278" i="10"/>
  <c r="R114" i="10"/>
  <c r="T114" i="10" s="1"/>
  <c r="R228" i="10"/>
  <c r="T228" i="10" s="1"/>
  <c r="R290" i="10"/>
  <c r="T290" i="10" s="1"/>
  <c r="R346" i="10"/>
  <c r="T346" i="10" s="1"/>
  <c r="Q117" i="10"/>
  <c r="Q341" i="10"/>
  <c r="Q87" i="10"/>
  <c r="Q311" i="10"/>
  <c r="Q299" i="10"/>
  <c r="Q265" i="10"/>
  <c r="Q187" i="10"/>
  <c r="AK21" i="10"/>
  <c r="AQ40" i="10" s="1"/>
  <c r="AR40" i="10" s="1"/>
  <c r="AK9" i="10"/>
  <c r="AQ10" i="10" s="1"/>
  <c r="AK20" i="10"/>
  <c r="AQ38" i="10" s="1"/>
  <c r="AR38" i="10" s="1"/>
  <c r="AK8" i="10"/>
  <c r="AQ11" i="10" s="1"/>
  <c r="AR11" i="10" s="1"/>
  <c r="AL8" i="10"/>
  <c r="AK24" i="10"/>
  <c r="AQ49" i="10" s="1"/>
  <c r="AK25" i="10"/>
  <c r="AQ50" i="10" s="1"/>
  <c r="AR50" i="10" s="1"/>
  <c r="AD17" i="3"/>
  <c r="AD32" i="3" s="1"/>
  <c r="AD31" i="3" s="1"/>
  <c r="AL24" i="10"/>
  <c r="AL25" i="10"/>
  <c r="BA334" i="10"/>
  <c r="BA328" i="10"/>
  <c r="AZ191" i="10"/>
  <c r="BC191" i="10" s="1"/>
  <c r="AL19" i="10"/>
  <c r="AL15" i="10"/>
  <c r="BA305" i="10"/>
  <c r="BA320" i="10"/>
  <c r="BA301" i="10"/>
  <c r="BA333" i="10"/>
  <c r="BA303" i="10"/>
  <c r="BA321" i="10"/>
  <c r="BA319" i="10"/>
  <c r="BA191" i="10"/>
  <c r="BD191" i="10" s="1"/>
  <c r="AL21" i="10"/>
  <c r="AL18" i="10"/>
  <c r="AL12" i="10"/>
  <c r="AL10" i="10"/>
  <c r="AL20" i="10"/>
  <c r="AL16" i="10"/>
  <c r="AL13" i="10"/>
  <c r="BA306" i="10"/>
  <c r="AZ189" i="10"/>
  <c r="BC188" i="10" s="1"/>
  <c r="AZ330" i="10"/>
  <c r="AZ327" i="10"/>
  <c r="AZ326" i="10"/>
  <c r="AZ331" i="10"/>
  <c r="AZ50" i="10"/>
  <c r="AZ53" i="10"/>
  <c r="AZ48" i="10"/>
  <c r="AZ51" i="10"/>
  <c r="BA327" i="10"/>
  <c r="AZ54" i="10"/>
  <c r="AZ306" i="10"/>
  <c r="AZ47" i="10"/>
  <c r="AZ325" i="10"/>
  <c r="AZ332" i="10"/>
  <c r="AZ328" i="10"/>
  <c r="AZ333" i="10"/>
  <c r="AZ322" i="10"/>
  <c r="AZ319" i="10"/>
  <c r="AZ68" i="10"/>
  <c r="AZ63" i="10"/>
  <c r="AZ320" i="10"/>
  <c r="AZ79" i="10"/>
  <c r="AZ318" i="10"/>
  <c r="AZ323" i="10"/>
  <c r="AZ52" i="10"/>
  <c r="AZ76" i="10"/>
  <c r="AZ58" i="10"/>
  <c r="AZ61" i="10"/>
  <c r="AZ334" i="10"/>
  <c r="BA52" i="10"/>
  <c r="AZ46" i="10"/>
  <c r="AZ49" i="10"/>
  <c r="BA49" i="10"/>
  <c r="BA56" i="10"/>
  <c r="AZ329" i="10"/>
  <c r="BA55" i="10"/>
  <c r="BA329" i="10"/>
  <c r="BA331" i="10"/>
  <c r="BA50" i="10"/>
  <c r="BA71" i="10"/>
  <c r="BA66" i="10"/>
  <c r="BA79" i="10"/>
  <c r="BA78" i="10"/>
  <c r="AZ311" i="10"/>
  <c r="BA53" i="10"/>
  <c r="BA51" i="10"/>
  <c r="BA304" i="10"/>
  <c r="BA325" i="10"/>
  <c r="AZ56" i="10"/>
  <c r="F39" i="7"/>
  <c r="BA70" i="10"/>
  <c r="AK13" i="10"/>
  <c r="AQ20" i="10" s="1"/>
  <c r="AZ66" i="10"/>
  <c r="AZ69" i="10"/>
  <c r="AZ64" i="10"/>
  <c r="AZ67" i="10"/>
  <c r="AZ70" i="10"/>
  <c r="AZ73" i="10"/>
  <c r="AZ309" i="10"/>
  <c r="AZ59" i="10"/>
  <c r="AZ315" i="10"/>
  <c r="AZ62" i="10"/>
  <c r="BA57" i="10"/>
  <c r="AZ65" i="10"/>
  <c r="AZ302" i="10"/>
  <c r="BA60" i="10"/>
  <c r="BA72" i="10"/>
  <c r="BA308" i="10"/>
  <c r="BA63" i="10"/>
  <c r="BA310" i="10"/>
  <c r="AZ316" i="10"/>
  <c r="AZ312" i="10"/>
  <c r="AZ313" i="10"/>
  <c r="BA324" i="10"/>
  <c r="AZ317" i="10"/>
  <c r="AZ314" i="10"/>
  <c r="AZ303" i="10"/>
  <c r="BA58" i="10"/>
  <c r="BA77" i="10"/>
  <c r="BA76" i="10"/>
  <c r="AZ301" i="10"/>
  <c r="BA75" i="10"/>
  <c r="BA62" i="10"/>
  <c r="AZ307" i="10"/>
  <c r="BA74" i="10"/>
  <c r="AZ57" i="10"/>
  <c r="BA302" i="10"/>
  <c r="BA318" i="10"/>
  <c r="BA316" i="10"/>
  <c r="AZ324" i="10"/>
  <c r="AZ321" i="10"/>
  <c r="BA312" i="10"/>
  <c r="BA322" i="10"/>
  <c r="AZ304" i="10"/>
  <c r="AZ74" i="10"/>
  <c r="BA69" i="10"/>
  <c r="AZ77" i="10"/>
  <c r="BA307" i="10"/>
  <c r="AZ72" i="10"/>
  <c r="BA67" i="10"/>
  <c r="AZ75" i="10"/>
  <c r="BA317" i="10"/>
  <c r="AZ310" i="10"/>
  <c r="BA68" i="10"/>
  <c r="AZ78" i="10"/>
  <c r="BA73" i="10"/>
  <c r="BA64" i="10"/>
  <c r="BA313" i="10"/>
  <c r="BA309" i="10"/>
  <c r="BA311" i="10"/>
  <c r="BA315" i="10"/>
  <c r="AZ308" i="10"/>
  <c r="BA314" i="10"/>
  <c r="AZ305" i="10"/>
  <c r="BA61" i="10"/>
  <c r="BA323" i="10"/>
  <c r="BA59" i="10"/>
  <c r="BA65" i="10"/>
  <c r="AQ26" i="10"/>
  <c r="AR26" i="10" s="1"/>
  <c r="AQ24" i="10"/>
  <c r="AQ23" i="10"/>
  <c r="AQ33" i="10"/>
  <c r="AR33" i="10" s="1"/>
  <c r="AR37" i="10" s="1"/>
  <c r="AQ34" i="10"/>
  <c r="AZ252" i="10"/>
  <c r="AZ222" i="10"/>
  <c r="AZ299" i="10"/>
  <c r="AZ234" i="10"/>
  <c r="AZ210" i="10"/>
  <c r="AZ235" i="10"/>
  <c r="AZ241" i="10"/>
  <c r="AZ220" i="10"/>
  <c r="AZ221" i="10"/>
  <c r="AZ291" i="10"/>
  <c r="AZ236" i="10"/>
  <c r="AZ225" i="10"/>
  <c r="AZ195" i="10"/>
  <c r="AZ247" i="10"/>
  <c r="AZ232" i="10"/>
  <c r="AZ284" i="10"/>
  <c r="AZ231" i="10"/>
  <c r="AZ289" i="10"/>
  <c r="AZ249" i="10"/>
  <c r="AZ271" i="10"/>
  <c r="AZ204" i="10"/>
  <c r="AZ193" i="10"/>
  <c r="AZ199" i="10"/>
  <c r="AZ269" i="10"/>
  <c r="AZ245" i="10"/>
  <c r="AZ256" i="10"/>
  <c r="AZ197" i="10"/>
  <c r="AZ285" i="10"/>
  <c r="AZ275" i="10"/>
  <c r="AZ294" i="10"/>
  <c r="AZ298" i="10"/>
  <c r="AZ251" i="10"/>
  <c r="AZ272" i="10"/>
  <c r="AZ260" i="10"/>
  <c r="AZ257" i="10"/>
  <c r="AZ270" i="10"/>
  <c r="AZ208" i="10"/>
  <c r="AZ276" i="10"/>
  <c r="AZ282" i="10"/>
  <c r="AZ266" i="10"/>
  <c r="AZ300" i="10"/>
  <c r="AZ255" i="10"/>
  <c r="AZ295" i="10"/>
  <c r="AZ223" i="10"/>
  <c r="AZ229" i="10"/>
  <c r="AZ274" i="10"/>
  <c r="AZ215" i="10"/>
  <c r="AZ259" i="10"/>
  <c r="AZ200" i="10"/>
  <c r="AZ230" i="10"/>
  <c r="AZ277" i="10"/>
  <c r="AZ296" i="10"/>
  <c r="AZ240" i="10"/>
  <c r="AZ206" i="10"/>
  <c r="AZ268" i="10"/>
  <c r="AZ205" i="10"/>
  <c r="AZ265" i="10"/>
  <c r="AZ267" i="10"/>
  <c r="AZ243" i="10"/>
  <c r="AZ242" i="10"/>
  <c r="AZ211" i="10"/>
  <c r="AZ273" i="10"/>
  <c r="AZ207" i="10"/>
  <c r="AZ253" i="10"/>
  <c r="AZ227" i="10"/>
  <c r="AZ288" i="10"/>
  <c r="AZ278" i="10"/>
  <c r="AZ280" i="10"/>
  <c r="AZ246" i="10"/>
  <c r="AZ203" i="10"/>
  <c r="AZ201" i="10"/>
  <c r="AZ217" i="10"/>
  <c r="AZ290" i="10"/>
  <c r="AZ198" i="10"/>
  <c r="AZ239" i="10"/>
  <c r="AZ216" i="10"/>
  <c r="AZ219" i="10"/>
  <c r="AZ228" i="10"/>
  <c r="AZ192" i="10"/>
  <c r="AZ218" i="10"/>
  <c r="AZ264" i="10"/>
  <c r="AZ214" i="10"/>
  <c r="AZ238" i="10"/>
  <c r="AZ286" i="10"/>
  <c r="AZ248" i="10"/>
  <c r="AZ224" i="10"/>
  <c r="AZ194" i="10"/>
  <c r="AZ261" i="10"/>
  <c r="AZ196" i="10"/>
  <c r="AZ292" i="10"/>
  <c r="AZ297" i="10"/>
  <c r="AZ258" i="10"/>
  <c r="AZ237" i="10"/>
  <c r="AZ244" i="10"/>
  <c r="AZ226" i="10"/>
  <c r="AZ281" i="10"/>
  <c r="AZ213" i="10"/>
  <c r="AZ293" i="10"/>
  <c r="AZ254" i="10"/>
  <c r="AZ263" i="10"/>
  <c r="AZ262" i="10"/>
  <c r="AZ202" i="10"/>
  <c r="AZ287" i="10"/>
  <c r="AZ279" i="10"/>
  <c r="AZ283" i="10"/>
  <c r="AZ250" i="10"/>
  <c r="AZ212" i="10"/>
  <c r="AZ233" i="10"/>
  <c r="AZ209" i="10"/>
  <c r="BA120" i="10"/>
  <c r="BA105" i="10"/>
  <c r="BA169" i="10"/>
  <c r="BA92" i="10"/>
  <c r="BA176" i="10"/>
  <c r="BA116" i="10"/>
  <c r="BA158" i="10"/>
  <c r="BA106" i="10"/>
  <c r="BA96" i="10"/>
  <c r="BA93" i="10"/>
  <c r="BA130" i="10"/>
  <c r="BA102" i="10"/>
  <c r="BA107" i="10"/>
  <c r="BA155" i="10"/>
  <c r="BA81" i="10"/>
  <c r="BA188" i="10"/>
  <c r="BA123" i="10"/>
  <c r="BA84" i="10"/>
  <c r="BA145" i="10"/>
  <c r="BA172" i="10"/>
  <c r="BA134" i="10"/>
  <c r="BA87" i="10"/>
  <c r="BA161" i="10"/>
  <c r="BA97" i="10"/>
  <c r="BA159" i="10"/>
  <c r="BA136" i="10"/>
  <c r="BA91" i="10"/>
  <c r="BA167" i="10"/>
  <c r="BA154" i="10"/>
  <c r="BA170" i="10"/>
  <c r="BA121" i="10"/>
  <c r="BA114" i="10"/>
  <c r="BA99" i="10"/>
  <c r="BA80" i="10"/>
  <c r="BA128" i="10"/>
  <c r="BA185" i="10"/>
  <c r="BA113" i="10"/>
  <c r="BA162" i="10"/>
  <c r="BA88" i="10"/>
  <c r="BA175" i="10"/>
  <c r="BA104" i="10"/>
  <c r="BA89" i="10"/>
  <c r="BA153" i="10"/>
  <c r="BA156" i="10"/>
  <c r="BA144" i="10"/>
  <c r="BA182" i="10"/>
  <c r="BA186" i="10"/>
  <c r="BA181" i="10"/>
  <c r="BA157" i="10"/>
  <c r="BA103" i="10"/>
  <c r="BA138" i="10"/>
  <c r="BA143" i="10"/>
  <c r="BA139" i="10"/>
  <c r="BA137" i="10"/>
  <c r="BA173" i="10"/>
  <c r="BA118" i="10"/>
  <c r="BA184" i="10"/>
  <c r="BA86" i="10"/>
  <c r="BA165" i="10"/>
  <c r="BA171" i="10"/>
  <c r="BA163" i="10"/>
  <c r="BA152" i="10"/>
  <c r="BA140" i="10"/>
  <c r="BA146" i="10"/>
  <c r="BA129" i="10"/>
  <c r="BA122" i="10"/>
  <c r="BA124" i="10"/>
  <c r="BA180" i="10"/>
  <c r="BA110" i="10"/>
  <c r="BA179" i="10"/>
  <c r="BA95" i="10"/>
  <c r="BA112" i="10"/>
  <c r="BA135" i="10"/>
  <c r="BA100" i="10"/>
  <c r="BA133" i="10"/>
  <c r="BA109" i="10"/>
  <c r="BA119" i="10"/>
  <c r="BA166" i="10"/>
  <c r="BA142" i="10"/>
  <c r="BA101" i="10"/>
  <c r="BA90" i="10"/>
  <c r="BA149" i="10"/>
  <c r="BA85" i="10"/>
  <c r="BA174" i="10"/>
  <c r="BA127" i="10"/>
  <c r="BA115" i="10"/>
  <c r="BA177" i="10"/>
  <c r="BA141" i="10"/>
  <c r="BA151" i="10"/>
  <c r="BA168" i="10"/>
  <c r="BA148" i="10"/>
  <c r="BA94" i="10"/>
  <c r="BA131" i="10"/>
  <c r="BA98" i="10"/>
  <c r="BA111" i="10"/>
  <c r="BA187" i="10"/>
  <c r="BA125" i="10"/>
  <c r="BA126" i="10"/>
  <c r="BA160" i="10"/>
  <c r="BA178" i="10"/>
  <c r="BA147" i="10"/>
  <c r="BA82" i="10"/>
  <c r="BA83" i="10"/>
  <c r="BA132" i="10"/>
  <c r="BA164" i="10"/>
  <c r="BA117" i="10"/>
  <c r="BA150" i="10"/>
  <c r="BA183" i="10"/>
  <c r="BA108" i="10"/>
  <c r="AQ45" i="10"/>
  <c r="AR45" i="10" s="1"/>
  <c r="AR44" i="10"/>
  <c r="AZ118" i="10"/>
  <c r="AZ182" i="10"/>
  <c r="AZ132" i="10"/>
  <c r="AZ147" i="10"/>
  <c r="AZ161" i="10"/>
  <c r="AZ171" i="10"/>
  <c r="AZ85" i="10"/>
  <c r="AZ98" i="10"/>
  <c r="AZ186" i="10"/>
  <c r="AZ100" i="10"/>
  <c r="AZ152" i="10"/>
  <c r="AZ92" i="10"/>
  <c r="AZ144" i="10"/>
  <c r="AZ178" i="10"/>
  <c r="AZ88" i="10"/>
  <c r="AZ103" i="10"/>
  <c r="AZ139" i="10"/>
  <c r="AZ106" i="10"/>
  <c r="AZ169" i="10"/>
  <c r="AZ170" i="10"/>
  <c r="AZ80" i="10"/>
  <c r="AZ114" i="10"/>
  <c r="AZ136" i="10"/>
  <c r="AZ155" i="10"/>
  <c r="AZ109" i="10"/>
  <c r="AZ173" i="10"/>
  <c r="AZ112" i="10"/>
  <c r="AZ113" i="10"/>
  <c r="AZ90" i="10"/>
  <c r="AZ102" i="10"/>
  <c r="AZ166" i="10"/>
  <c r="AZ153" i="10"/>
  <c r="AZ168" i="10"/>
  <c r="AZ83" i="10"/>
  <c r="AZ183" i="10"/>
  <c r="AZ134" i="10"/>
  <c r="AZ111" i="10"/>
  <c r="AZ125" i="10"/>
  <c r="AZ140" i="10"/>
  <c r="AZ107" i="10"/>
  <c r="AZ185" i="10"/>
  <c r="AZ91" i="10"/>
  <c r="AZ94" i="10"/>
  <c r="AZ143" i="10"/>
  <c r="AZ131" i="10"/>
  <c r="AZ137" i="10"/>
  <c r="AZ115" i="10"/>
  <c r="AZ87" i="10"/>
  <c r="AZ110" i="10"/>
  <c r="AZ156" i="10"/>
  <c r="AZ184" i="10"/>
  <c r="AZ188" i="10"/>
  <c r="AZ123" i="10"/>
  <c r="AZ179" i="10"/>
  <c r="AZ126" i="10"/>
  <c r="AZ130" i="10"/>
  <c r="AZ165" i="10"/>
  <c r="AZ164" i="10"/>
  <c r="AZ97" i="10"/>
  <c r="AZ149" i="10"/>
  <c r="AZ142" i="10"/>
  <c r="AZ127" i="10"/>
  <c r="AZ120" i="10"/>
  <c r="AZ151" i="10"/>
  <c r="AZ176" i="10"/>
  <c r="AZ154" i="10"/>
  <c r="AZ172" i="10"/>
  <c r="AZ181" i="10"/>
  <c r="AZ158" i="10"/>
  <c r="AZ167" i="10"/>
  <c r="AZ133" i="10"/>
  <c r="AZ84" i="10"/>
  <c r="AZ160" i="10"/>
  <c r="AZ138" i="10"/>
  <c r="AZ174" i="10"/>
  <c r="AZ145" i="10"/>
  <c r="AZ82" i="10"/>
  <c r="AZ187" i="10"/>
  <c r="AZ116" i="10"/>
  <c r="AZ146" i="10"/>
  <c r="AZ86" i="10"/>
  <c r="AZ175" i="10"/>
  <c r="AZ128" i="10"/>
  <c r="AZ162" i="10"/>
  <c r="AZ93" i="10"/>
  <c r="AZ124" i="10"/>
  <c r="AZ117" i="10"/>
  <c r="AZ180" i="10"/>
  <c r="AZ163" i="10"/>
  <c r="AZ135" i="10"/>
  <c r="AZ101" i="10"/>
  <c r="AZ157" i="10"/>
  <c r="AZ129" i="10"/>
  <c r="AZ96" i="10"/>
  <c r="AZ141" i="10"/>
  <c r="AZ121" i="10"/>
  <c r="AZ148" i="10"/>
  <c r="AZ99" i="10"/>
  <c r="AZ150" i="10"/>
  <c r="AZ89" i="10"/>
  <c r="AZ104" i="10"/>
  <c r="AZ119" i="10"/>
  <c r="AZ122" i="10"/>
  <c r="AZ159" i="10"/>
  <c r="AZ177" i="10"/>
  <c r="AZ105" i="10"/>
  <c r="AZ95" i="10"/>
  <c r="AZ81" i="10"/>
  <c r="AZ108" i="10"/>
  <c r="AS43" i="10"/>
  <c r="AS47" i="10" s="1"/>
  <c r="AS46" i="10"/>
  <c r="BA193" i="10"/>
  <c r="BA295" i="10"/>
  <c r="BA200" i="10"/>
  <c r="BA297" i="10"/>
  <c r="BA246" i="10"/>
  <c r="BA209" i="10"/>
  <c r="BA299" i="10"/>
  <c r="BA279" i="10"/>
  <c r="BA213" i="10"/>
  <c r="BA212" i="10"/>
  <c r="BA240" i="10"/>
  <c r="BA197" i="10"/>
  <c r="BA228" i="10"/>
  <c r="BA259" i="10"/>
  <c r="BA219" i="10"/>
  <c r="BA235" i="10"/>
  <c r="BA254" i="10"/>
  <c r="BA245" i="10"/>
  <c r="BA239" i="10"/>
  <c r="BA250" i="10"/>
  <c r="BA237" i="10"/>
  <c r="BA262" i="10"/>
  <c r="BA223" i="10"/>
  <c r="BA267" i="10"/>
  <c r="BA272" i="10"/>
  <c r="BA208" i="10"/>
  <c r="BA211" i="10"/>
  <c r="BA198" i="10"/>
  <c r="BA292" i="10"/>
  <c r="BA244" i="10"/>
  <c r="BA275" i="10"/>
  <c r="BA231" i="10"/>
  <c r="BA289" i="10"/>
  <c r="BA268" i="10"/>
  <c r="BA285" i="10"/>
  <c r="BA202" i="10"/>
  <c r="BA255" i="10"/>
  <c r="BA260" i="10"/>
  <c r="BA233" i="10"/>
  <c r="BA217" i="10"/>
  <c r="BA293" i="10"/>
  <c r="BA210" i="10"/>
  <c r="BA224" i="10"/>
  <c r="BA282" i="10"/>
  <c r="BA218" i="10"/>
  <c r="BA196" i="10"/>
  <c r="BA269" i="10"/>
  <c r="BA266" i="10"/>
  <c r="BA195" i="10"/>
  <c r="BA230" i="10"/>
  <c r="BA247" i="10"/>
  <c r="BA300" i="10"/>
  <c r="BA258" i="10"/>
  <c r="BA203" i="10"/>
  <c r="BA222" i="10"/>
  <c r="BA242" i="10"/>
  <c r="BA243" i="10"/>
  <c r="BA251" i="10"/>
  <c r="BA278" i="10"/>
  <c r="BA204" i="10"/>
  <c r="BA271" i="10"/>
  <c r="BA194" i="10"/>
  <c r="BA276" i="10"/>
  <c r="BA280" i="10"/>
  <c r="BA273" i="10"/>
  <c r="BA206" i="10"/>
  <c r="BA214" i="10"/>
  <c r="BA290" i="10"/>
  <c r="BA296" i="10"/>
  <c r="BA252" i="10"/>
  <c r="BA205" i="10"/>
  <c r="BA236" i="10"/>
  <c r="BA225" i="10"/>
  <c r="BA216" i="10"/>
  <c r="BA284" i="10"/>
  <c r="BA215" i="10"/>
  <c r="BA261" i="10"/>
  <c r="BA257" i="10"/>
  <c r="BA207" i="10"/>
  <c r="BA201" i="10"/>
  <c r="BA298" i="10"/>
  <c r="BA238" i="10"/>
  <c r="BA265" i="10"/>
  <c r="BA274" i="10"/>
  <c r="BA288" i="10"/>
  <c r="BA232" i="10"/>
  <c r="BA249" i="10"/>
  <c r="BA248" i="10"/>
  <c r="BA263" i="10"/>
  <c r="BA234" i="10"/>
  <c r="BA221" i="10"/>
  <c r="BA226" i="10"/>
  <c r="BA287" i="10"/>
  <c r="BA241" i="10"/>
  <c r="BA281" i="10"/>
  <c r="BA227" i="10"/>
  <c r="BA220" i="10"/>
  <c r="BA229" i="10"/>
  <c r="BA253" i="10"/>
  <c r="BA286" i="10"/>
  <c r="BA256" i="10"/>
  <c r="BA192" i="10"/>
  <c r="BA294" i="10"/>
  <c r="BA277" i="10"/>
  <c r="BA264" i="10"/>
  <c r="BA199" i="10"/>
  <c r="BA283" i="10"/>
  <c r="BA270" i="10"/>
  <c r="BA291" i="10"/>
  <c r="AS44" i="10"/>
  <c r="BD65" i="3"/>
  <c r="AA10" i="3"/>
  <c r="AA11" i="3" s="1"/>
  <c r="Z12" i="3" s="1"/>
  <c r="AS4" i="3"/>
  <c r="AT4" i="3" s="1"/>
  <c r="M9" i="3"/>
  <c r="L9" i="3"/>
  <c r="C44" i="7"/>
  <c r="C45" i="7" s="1"/>
  <c r="I10" i="3"/>
  <c r="J11" i="3"/>
  <c r="G100" i="1"/>
  <c r="W23" i="2"/>
  <c r="AC23" i="2"/>
  <c r="AF23" i="2"/>
  <c r="T9" i="2"/>
  <c r="A25" i="2"/>
  <c r="T23" i="2"/>
  <c r="E228" i="1"/>
  <c r="D112" i="6" s="1"/>
  <c r="W9" i="2"/>
  <c r="Z23" i="2"/>
  <c r="Q41" i="2"/>
  <c r="AI23" i="2"/>
  <c r="AL23" i="2"/>
  <c r="AR34" i="10" l="1"/>
  <c r="AQ28" i="10"/>
  <c r="AS28" i="10" s="1"/>
  <c r="AS32" i="10" s="1"/>
  <c r="AQ29" i="10"/>
  <c r="AS29" i="10" s="1"/>
  <c r="AS18" i="10"/>
  <c r="AS22" i="10" s="1"/>
  <c r="AQ21" i="10"/>
  <c r="AR21" i="10" s="1"/>
  <c r="AQ19" i="10"/>
  <c r="AS19" i="10" s="1"/>
  <c r="R46" i="12"/>
  <c r="AD46" i="12"/>
  <c r="AD49" i="12"/>
  <c r="R49" i="12"/>
  <c r="AD45" i="12"/>
  <c r="R45" i="12"/>
  <c r="R47" i="12"/>
  <c r="AD47" i="12"/>
  <c r="AD43" i="12"/>
  <c r="R43" i="12"/>
  <c r="R39" i="12"/>
  <c r="AD39" i="12"/>
  <c r="R50" i="12"/>
  <c r="AD50" i="12"/>
  <c r="R41" i="12"/>
  <c r="AD41" i="12"/>
  <c r="R42" i="12"/>
  <c r="AD42" i="12"/>
  <c r="R38" i="12"/>
  <c r="AD38" i="12"/>
  <c r="R40" i="12"/>
  <c r="AD40" i="12"/>
  <c r="AD44" i="12"/>
  <c r="R44" i="12"/>
  <c r="R35" i="12"/>
  <c r="AD35" i="12"/>
  <c r="AD37" i="12"/>
  <c r="R37" i="12"/>
  <c r="R36" i="12"/>
  <c r="AD36" i="12"/>
  <c r="R48" i="12"/>
  <c r="AD48" i="12"/>
  <c r="AD34" i="12"/>
  <c r="H6" i="13" s="1"/>
  <c r="R34" i="12"/>
  <c r="J7" i="12"/>
  <c r="J9" i="12" s="1"/>
  <c r="G101" i="1"/>
  <c r="E230" i="1" s="1"/>
  <c r="Q24" i="2"/>
  <c r="G126" i="1" s="1"/>
  <c r="AA6" i="3"/>
  <c r="D185" i="1" s="1"/>
  <c r="AQ13" i="10"/>
  <c r="AR13" i="10" s="1"/>
  <c r="AR17" i="10" s="1"/>
  <c r="AQ14" i="10"/>
  <c r="AR14" i="10" s="1"/>
  <c r="AC117" i="2"/>
  <c r="AC118" i="2"/>
  <c r="AC120" i="2"/>
  <c r="T117" i="2"/>
  <c r="T120" i="2"/>
  <c r="T118" i="2"/>
  <c r="AL117" i="2"/>
  <c r="AL119" i="2"/>
  <c r="AL118" i="2"/>
  <c r="AF120" i="2"/>
  <c r="Z118" i="2"/>
  <c r="AI117" i="2"/>
  <c r="AI118" i="2"/>
  <c r="AI119" i="2"/>
  <c r="AF118" i="2"/>
  <c r="AF117" i="2"/>
  <c r="Z117" i="2"/>
  <c r="Z119" i="2"/>
  <c r="W120" i="2"/>
  <c r="W118" i="2"/>
  <c r="W117" i="2"/>
  <c r="AS10" i="10"/>
  <c r="Q121" i="2"/>
  <c r="Q47" i="2" s="1"/>
  <c r="P47" i="2" s="1"/>
  <c r="AQ51" i="10"/>
  <c r="AR51" i="10" s="1"/>
  <c r="AQ39" i="10"/>
  <c r="AR39" i="10" s="1"/>
  <c r="AQ41" i="10"/>
  <c r="AR41" i="10" s="1"/>
  <c r="AR23" i="10"/>
  <c r="AR27" i="10" s="1"/>
  <c r="AQ48" i="10"/>
  <c r="AS48" i="10" s="1"/>
  <c r="AS52" i="10" s="1"/>
  <c r="AS24" i="10"/>
  <c r="AQ8" i="10"/>
  <c r="AQ9" i="10"/>
  <c r="AS9" i="10" s="1"/>
  <c r="AS49" i="10"/>
  <c r="AS36" i="10"/>
  <c r="AS15" i="10"/>
  <c r="AS33" i="10"/>
  <c r="AS37" i="10" s="1"/>
  <c r="AS20" i="10"/>
  <c r="AS26" i="10"/>
  <c r="AS38" i="10"/>
  <c r="AS42" i="10" s="1"/>
  <c r="AS23" i="10"/>
  <c r="AS27" i="10" s="1"/>
  <c r="AR20" i="10"/>
  <c r="AS30" i="10"/>
  <c r="AR49" i="10"/>
  <c r="AS25" i="10"/>
  <c r="AS35" i="10"/>
  <c r="AR10" i="10"/>
  <c r="AR42" i="10"/>
  <c r="AR24" i="10"/>
  <c r="AS45" i="10"/>
  <c r="AS34" i="10"/>
  <c r="AS31" i="10"/>
  <c r="AS16" i="10"/>
  <c r="AS40" i="10"/>
  <c r="AS50" i="10"/>
  <c r="AR28" i="10"/>
  <c r="AR32" i="10" s="1"/>
  <c r="AR18" i="10"/>
  <c r="AR22" i="10" s="1"/>
  <c r="AR36" i="10"/>
  <c r="AS11" i="10"/>
  <c r="F45" i="7"/>
  <c r="F43" i="7"/>
  <c r="F44" i="7"/>
  <c r="F41" i="7"/>
  <c r="F42" i="7"/>
  <c r="L10" i="3"/>
  <c r="M10" i="3"/>
  <c r="Z11" i="3"/>
  <c r="D187" i="1" s="1"/>
  <c r="T12" i="2"/>
  <c r="N122" i="2"/>
  <c r="T123" i="2" s="1"/>
  <c r="W12" i="2"/>
  <c r="T26" i="2"/>
  <c r="W26" i="2"/>
  <c r="I11" i="3"/>
  <c r="J12" i="3"/>
  <c r="F126" i="1"/>
  <c r="Q42" i="2"/>
  <c r="P42" i="2" s="1"/>
  <c r="F133" i="1"/>
  <c r="G8" i="3" s="1"/>
  <c r="T42" i="2"/>
  <c r="S42" i="2" s="1"/>
  <c r="AC42" i="2"/>
  <c r="AB42" i="2" s="1"/>
  <c r="F153" i="1"/>
  <c r="F167" i="1"/>
  <c r="G13" i="3" s="1"/>
  <c r="AI42" i="2"/>
  <c r="AH42" i="2" s="1"/>
  <c r="F174" i="1"/>
  <c r="G14" i="3" s="1"/>
  <c r="AL42" i="2"/>
  <c r="AK42" i="2" s="1"/>
  <c r="F146" i="1"/>
  <c r="G10" i="3" s="1"/>
  <c r="Z42" i="2"/>
  <c r="Y42" i="2" s="1"/>
  <c r="E26" i="2"/>
  <c r="I26" i="2"/>
  <c r="D26" i="2"/>
  <c r="G26" i="2"/>
  <c r="F26" i="2"/>
  <c r="H26" i="2"/>
  <c r="W42" i="2"/>
  <c r="V42" i="2" s="1"/>
  <c r="F140" i="1"/>
  <c r="G9" i="3" s="1"/>
  <c r="W36" i="2"/>
  <c r="W53" i="2"/>
  <c r="W54" i="2" s="1"/>
  <c r="T54" i="2"/>
  <c r="AF42" i="2"/>
  <c r="AE42" i="2" s="1"/>
  <c r="F160" i="1"/>
  <c r="G12" i="3" s="1"/>
  <c r="AI24" i="2"/>
  <c r="G167" i="1" s="1"/>
  <c r="H13" i="3" s="1"/>
  <c r="E229" i="1"/>
  <c r="D113" i="6" s="1"/>
  <c r="Z24" i="2"/>
  <c r="G146" i="1" s="1"/>
  <c r="H10" i="3" s="1"/>
  <c r="W10" i="2"/>
  <c r="T24" i="2"/>
  <c r="G133" i="1" s="1"/>
  <c r="H8" i="3" s="1"/>
  <c r="AL24" i="2"/>
  <c r="G174" i="1" s="1"/>
  <c r="H14" i="3" s="1"/>
  <c r="T10" i="2"/>
  <c r="AF24" i="2"/>
  <c r="G160" i="1" s="1"/>
  <c r="H12" i="3" s="1"/>
  <c r="A23" i="2"/>
  <c r="W24" i="2"/>
  <c r="G140" i="1" s="1"/>
  <c r="H9" i="3" s="1"/>
  <c r="AC24" i="2"/>
  <c r="G153" i="1" s="1"/>
  <c r="AR29" i="10" l="1"/>
  <c r="E23" i="6"/>
  <c r="AR19" i="10"/>
  <c r="AS21" i="10"/>
  <c r="AS14" i="10"/>
  <c r="S34" i="12"/>
  <c r="T34" i="12"/>
  <c r="H16" i="13"/>
  <c r="J16" i="13" s="1"/>
  <c r="AF44" i="12"/>
  <c r="AE44" i="12"/>
  <c r="S41" i="12"/>
  <c r="T41" i="12"/>
  <c r="AE34" i="12"/>
  <c r="AF34" i="12"/>
  <c r="S37" i="12"/>
  <c r="T37" i="12"/>
  <c r="S35" i="12"/>
  <c r="T35" i="12"/>
  <c r="H10" i="13"/>
  <c r="AE38" i="12"/>
  <c r="AF38" i="12"/>
  <c r="S42" i="12"/>
  <c r="T42" i="12"/>
  <c r="H11" i="13"/>
  <c r="J11" i="13" s="1"/>
  <c r="AE39" i="12"/>
  <c r="AF39" i="12"/>
  <c r="H15" i="13"/>
  <c r="J15" i="13" s="1"/>
  <c r="AE43" i="12"/>
  <c r="AF43" i="12"/>
  <c r="S49" i="12"/>
  <c r="T49" i="12"/>
  <c r="S46" i="12"/>
  <c r="T46" i="12"/>
  <c r="H20" i="13"/>
  <c r="J20" i="13" s="1"/>
  <c r="AF48" i="12"/>
  <c r="AE48" i="12"/>
  <c r="S36" i="12"/>
  <c r="T36" i="12"/>
  <c r="S44" i="12"/>
  <c r="T44" i="12"/>
  <c r="S40" i="12"/>
  <c r="T40" i="12"/>
  <c r="H13" i="13"/>
  <c r="J13" i="13" s="1"/>
  <c r="AE41" i="12"/>
  <c r="AF41" i="12"/>
  <c r="S50" i="12"/>
  <c r="T50" i="12"/>
  <c r="H19" i="13"/>
  <c r="J19" i="13" s="1"/>
  <c r="AE47" i="12"/>
  <c r="AF47" i="12"/>
  <c r="H17" i="13"/>
  <c r="J17" i="13" s="1"/>
  <c r="AF45" i="12"/>
  <c r="AE45" i="12"/>
  <c r="S48" i="12"/>
  <c r="T48" i="12"/>
  <c r="H7" i="13"/>
  <c r="AE35" i="12"/>
  <c r="AF35" i="12"/>
  <c r="H14" i="13"/>
  <c r="J14" i="13" s="1"/>
  <c r="AF42" i="12"/>
  <c r="AE42" i="12"/>
  <c r="S43" i="12"/>
  <c r="T43" i="12"/>
  <c r="S47" i="12"/>
  <c r="T47" i="12"/>
  <c r="H18" i="13"/>
  <c r="J18" i="13" s="1"/>
  <c r="AE46" i="12"/>
  <c r="AF46" i="12"/>
  <c r="H8" i="13"/>
  <c r="AF36" i="12"/>
  <c r="AE36" i="12"/>
  <c r="H9" i="13"/>
  <c r="AF37" i="12"/>
  <c r="AE37" i="12"/>
  <c r="H12" i="13"/>
  <c r="J12" i="13" s="1"/>
  <c r="AE40" i="12"/>
  <c r="AF40" i="12"/>
  <c r="S38" i="12"/>
  <c r="T38" i="12"/>
  <c r="H22" i="13"/>
  <c r="J22" i="13" s="1"/>
  <c r="AF50" i="12"/>
  <c r="AE50" i="12"/>
  <c r="S39" i="12"/>
  <c r="T39" i="12"/>
  <c r="S45" i="12"/>
  <c r="T45" i="12"/>
  <c r="H21" i="13"/>
  <c r="J21" i="13" s="1"/>
  <c r="AF49" i="12"/>
  <c r="AE49" i="12"/>
  <c r="Q32" i="2"/>
  <c r="Q35" i="2" s="1"/>
  <c r="AS41" i="10"/>
  <c r="B40" i="3"/>
  <c r="G7" i="3"/>
  <c r="G15" i="3" s="1"/>
  <c r="G16" i="3" s="1"/>
  <c r="AB19" i="3" s="1"/>
  <c r="AD18" i="3" s="1"/>
  <c r="AD26" i="3" s="1"/>
  <c r="AA26" i="3" s="1"/>
  <c r="B49" i="3"/>
  <c r="H7" i="3"/>
  <c r="H15" i="3" s="1"/>
  <c r="H16" i="3" s="1"/>
  <c r="AB21" i="3" s="1"/>
  <c r="AS13" i="10"/>
  <c r="AS17" i="10" s="1"/>
  <c r="AC121" i="2"/>
  <c r="AC47" i="2" s="1"/>
  <c r="AB47" i="2" s="1"/>
  <c r="T121" i="2"/>
  <c r="T47" i="2" s="1"/>
  <c r="S47" i="2" s="1"/>
  <c r="AL121" i="2"/>
  <c r="AL47" i="2" s="1"/>
  <c r="AK47" i="2" s="1"/>
  <c r="AF121" i="2"/>
  <c r="AF47" i="2" s="1"/>
  <c r="AE47" i="2" s="1"/>
  <c r="AI121" i="2"/>
  <c r="AI47" i="2" s="1"/>
  <c r="AH47" i="2" s="1"/>
  <c r="Z121" i="2"/>
  <c r="Z47" i="2" s="1"/>
  <c r="Y47" i="2" s="1"/>
  <c r="W121" i="2"/>
  <c r="W47" i="2" s="1"/>
  <c r="V47" i="2" s="1"/>
  <c r="AS39" i="10"/>
  <c r="AR48" i="10"/>
  <c r="AR52" i="10" s="1"/>
  <c r="AS51" i="10"/>
  <c r="AR8" i="10"/>
  <c r="AR12" i="10" s="1"/>
  <c r="AS8" i="10"/>
  <c r="AS12" i="10" s="1"/>
  <c r="AR9" i="10"/>
  <c r="W15" i="2"/>
  <c r="T15" i="2"/>
  <c r="I12" i="3"/>
  <c r="L12" i="3" s="1"/>
  <c r="W6" i="3" s="1"/>
  <c r="W7" i="3" s="1"/>
  <c r="J13" i="3"/>
  <c r="Z2" i="3"/>
  <c r="L11" i="3"/>
  <c r="BG4" i="3" s="1"/>
  <c r="M11" i="3"/>
  <c r="BG44" i="3" s="1"/>
  <c r="W123" i="2"/>
  <c r="AX6" i="3" s="1"/>
  <c r="AX5" i="3"/>
  <c r="R11" i="7"/>
  <c r="Z4" i="3"/>
  <c r="Z6" i="3" s="1"/>
  <c r="AI32" i="2"/>
  <c r="AI35" i="2" s="1"/>
  <c r="AI40" i="2" s="1"/>
  <c r="AH40" i="2" s="1"/>
  <c r="AG40" i="2" s="1"/>
  <c r="AC32" i="2"/>
  <c r="AC33" i="2" s="1"/>
  <c r="AL32" i="2"/>
  <c r="T32" i="2"/>
  <c r="T31" i="2" s="1"/>
  <c r="I25" i="2"/>
  <c r="I28" i="2" s="1"/>
  <c r="D25" i="2"/>
  <c r="D28" i="2" s="1"/>
  <c r="H25" i="2"/>
  <c r="H28" i="2" s="1"/>
  <c r="F25" i="2"/>
  <c r="F28" i="2" s="1"/>
  <c r="E25" i="2"/>
  <c r="E28" i="2" s="1"/>
  <c r="G25" i="2"/>
  <c r="G28" i="2" s="1"/>
  <c r="AF32" i="2"/>
  <c r="W32" i="2"/>
  <c r="Z32" i="2"/>
  <c r="J10" i="13" l="1"/>
  <c r="J9" i="13"/>
  <c r="J7" i="13"/>
  <c r="J6" i="13"/>
  <c r="J8" i="13"/>
  <c r="U41" i="12"/>
  <c r="V41" i="12" s="1"/>
  <c r="W41" i="12" s="1"/>
  <c r="I13" i="13" s="1"/>
  <c r="AG44" i="12"/>
  <c r="AG49" i="12"/>
  <c r="U47" i="12"/>
  <c r="V47" i="12" s="1"/>
  <c r="W47" i="12" s="1"/>
  <c r="I19" i="13" s="1"/>
  <c r="AG42" i="12"/>
  <c r="AG35" i="12"/>
  <c r="AG45" i="12"/>
  <c r="AG47" i="12"/>
  <c r="U46" i="12"/>
  <c r="V46" i="12" s="1"/>
  <c r="W46" i="12" s="1"/>
  <c r="I18" i="13" s="1"/>
  <c r="AG39" i="12"/>
  <c r="AG34" i="12"/>
  <c r="U38" i="12"/>
  <c r="V38" i="12" s="1"/>
  <c r="W38" i="12" s="1"/>
  <c r="I10" i="13" s="1"/>
  <c r="AG36" i="12"/>
  <c r="AG46" i="12"/>
  <c r="U43" i="12"/>
  <c r="V43" i="12" s="1"/>
  <c r="W43" i="12" s="1"/>
  <c r="I15" i="13" s="1"/>
  <c r="U48" i="12"/>
  <c r="V48" i="12" s="1"/>
  <c r="W48" i="12" s="1"/>
  <c r="I20" i="13" s="1"/>
  <c r="U50" i="12"/>
  <c r="V50" i="12" s="1"/>
  <c r="W50" i="12" s="1"/>
  <c r="I22" i="13" s="1"/>
  <c r="U49" i="12"/>
  <c r="V49" i="12" s="1"/>
  <c r="W49" i="12" s="1"/>
  <c r="I21" i="13" s="1"/>
  <c r="U42" i="12"/>
  <c r="V42" i="12" s="1"/>
  <c r="W42" i="12" s="1"/>
  <c r="I14" i="13" s="1"/>
  <c r="U39" i="12"/>
  <c r="V39" i="12" s="1"/>
  <c r="W39" i="12" s="1"/>
  <c r="I11" i="13" s="1"/>
  <c r="AG40" i="12"/>
  <c r="AG41" i="12"/>
  <c r="U44" i="12"/>
  <c r="V44" i="12" s="1"/>
  <c r="W44" i="12" s="1"/>
  <c r="I16" i="13" s="1"/>
  <c r="AG48" i="12"/>
  <c r="AG43" i="12"/>
  <c r="AG38" i="12"/>
  <c r="U37" i="12"/>
  <c r="V37" i="12" s="1"/>
  <c r="W37" i="12" s="1"/>
  <c r="I9" i="13" s="1"/>
  <c r="U45" i="12"/>
  <c r="V45" i="12" s="1"/>
  <c r="W45" i="12" s="1"/>
  <c r="I17" i="13" s="1"/>
  <c r="AG50" i="12"/>
  <c r="AG37" i="12"/>
  <c r="U40" i="12"/>
  <c r="V40" i="12" s="1"/>
  <c r="W40" i="12" s="1"/>
  <c r="I12" i="13" s="1"/>
  <c r="U36" i="12"/>
  <c r="V36" i="12" s="1"/>
  <c r="W36" i="12" s="1"/>
  <c r="I8" i="13" s="1"/>
  <c r="U35" i="12"/>
  <c r="V35" i="12" s="1"/>
  <c r="W35" i="12" s="1"/>
  <c r="I7" i="13" s="1"/>
  <c r="U34" i="12"/>
  <c r="V34" i="12" s="1"/>
  <c r="Q127" i="2"/>
  <c r="Z26" i="3"/>
  <c r="E54" i="6"/>
  <c r="Z122" i="2"/>
  <c r="AD23" i="3"/>
  <c r="AA23" i="3" s="1"/>
  <c r="E55" i="6" s="1"/>
  <c r="AA18" i="3"/>
  <c r="Z18" i="3" s="1"/>
  <c r="AD19" i="3"/>
  <c r="AX12" i="3"/>
  <c r="AR6" i="3" s="1"/>
  <c r="AS6" i="3" s="1"/>
  <c r="AT6" i="3" s="1"/>
  <c r="AC35" i="2"/>
  <c r="AC40" i="2" s="1"/>
  <c r="AB40" i="2" s="1"/>
  <c r="AA40" i="2" s="1"/>
  <c r="AI33" i="2"/>
  <c r="AI38" i="2" s="1"/>
  <c r="AI39" i="2" s="1"/>
  <c r="AI43" i="2" s="1"/>
  <c r="AH43" i="2" s="1"/>
  <c r="F21" i="6"/>
  <c r="AC16" i="3"/>
  <c r="Y7" i="3"/>
  <c r="Z5" i="3"/>
  <c r="J14" i="3"/>
  <c r="I13" i="3"/>
  <c r="L13" i="3" s="1"/>
  <c r="W24" i="3"/>
  <c r="W8" i="3"/>
  <c r="W9" i="3" s="1"/>
  <c r="AF35" i="2"/>
  <c r="AF40" i="2" s="1"/>
  <c r="AE40" i="2" s="1"/>
  <c r="AD40" i="2" s="1"/>
  <c r="AF33" i="2"/>
  <c r="AL33" i="2"/>
  <c r="AL35" i="2"/>
  <c r="AL40" i="2" s="1"/>
  <c r="AK40" i="2" s="1"/>
  <c r="AJ40" i="2" s="1"/>
  <c r="C153" i="1"/>
  <c r="N294" i="3" s="1"/>
  <c r="AC38" i="2"/>
  <c r="Z35" i="2"/>
  <c r="Z40" i="2" s="1"/>
  <c r="Y40" i="2" s="1"/>
  <c r="X40" i="2" s="1"/>
  <c r="Z33" i="2"/>
  <c r="Q33" i="2"/>
  <c r="W33" i="2"/>
  <c r="W35" i="2"/>
  <c r="W31" i="2"/>
  <c r="T35" i="2"/>
  <c r="T33" i="2"/>
  <c r="AI41" i="2"/>
  <c r="D167" i="1"/>
  <c r="AI128" i="2"/>
  <c r="AI45" i="2" s="1"/>
  <c r="AH45" i="2" s="1"/>
  <c r="AI129" i="2"/>
  <c r="AI46" i="2" s="1"/>
  <c r="AH46" i="2" s="1"/>
  <c r="AI127" i="2"/>
  <c r="AI44" i="2" s="1"/>
  <c r="AH44" i="2" s="1"/>
  <c r="W34" i="12" l="1"/>
  <c r="I6" i="13" s="1"/>
  <c r="Q46" i="2"/>
  <c r="AD20" i="3"/>
  <c r="AA20" i="3" s="1"/>
  <c r="Z20" i="3" s="1"/>
  <c r="AD30" i="3"/>
  <c r="AD29" i="3" s="1"/>
  <c r="T40" i="2"/>
  <c r="S40" i="2" s="1"/>
  <c r="R40" i="2" s="1"/>
  <c r="W40" i="2"/>
  <c r="V40" i="2" s="1"/>
  <c r="U40" i="2" s="1"/>
  <c r="P45" i="2"/>
  <c r="Q40" i="2"/>
  <c r="P40" i="2" s="1"/>
  <c r="O40" i="2" s="1"/>
  <c r="Z23" i="3"/>
  <c r="B14" i="8"/>
  <c r="D14" i="8" s="1"/>
  <c r="L44" i="6"/>
  <c r="L34" i="6"/>
  <c r="F44" i="6"/>
  <c r="F39" i="6"/>
  <c r="L39" i="6"/>
  <c r="L29" i="6"/>
  <c r="F34" i="6"/>
  <c r="AC127" i="2"/>
  <c r="AR8" i="3"/>
  <c r="AR10" i="3" s="1"/>
  <c r="C167" i="1"/>
  <c r="N442" i="3" s="1"/>
  <c r="S492" i="3" s="1"/>
  <c r="S491" i="3" s="1"/>
  <c r="S490" i="3" s="1"/>
  <c r="S493" i="3" s="1"/>
  <c r="AD24" i="3"/>
  <c r="AD27" i="3"/>
  <c r="AR7" i="3"/>
  <c r="AS7" i="3" s="1"/>
  <c r="AT7" i="3" s="1"/>
  <c r="AC41" i="2"/>
  <c r="AB41" i="2" s="1"/>
  <c r="AA41" i="2" s="1"/>
  <c r="AC39" i="2"/>
  <c r="AC43" i="2" s="1"/>
  <c r="AB43" i="2" s="1"/>
  <c r="AC44" i="2"/>
  <c r="AB44" i="2" s="1"/>
  <c r="AC129" i="2"/>
  <c r="AC46" i="2" s="1"/>
  <c r="AB46" i="2" s="1"/>
  <c r="D153" i="1"/>
  <c r="AC128" i="2"/>
  <c r="AC45" i="2" s="1"/>
  <c r="AB45" i="2" s="1"/>
  <c r="I14" i="3"/>
  <c r="L14" i="3" s="1"/>
  <c r="J15" i="3"/>
  <c r="AC18" i="3"/>
  <c r="F42" i="4" s="1"/>
  <c r="AC20" i="3"/>
  <c r="Q129" i="2"/>
  <c r="Q128" i="2"/>
  <c r="Q44" i="2"/>
  <c r="C133" i="1"/>
  <c r="N78" i="3" s="1"/>
  <c r="T38" i="2"/>
  <c r="T39" i="2" s="1"/>
  <c r="T43" i="2" s="1"/>
  <c r="S43" i="2" s="1"/>
  <c r="C146" i="1"/>
  <c r="N222" i="3" s="1"/>
  <c r="Z38" i="2"/>
  <c r="Z39" i="2" s="1"/>
  <c r="Z43" i="2" s="1"/>
  <c r="Y43" i="2" s="1"/>
  <c r="AL129" i="2"/>
  <c r="AL46" i="2" s="1"/>
  <c r="AK46" i="2" s="1"/>
  <c r="D174" i="1"/>
  <c r="AL128" i="2"/>
  <c r="AL45" i="2" s="1"/>
  <c r="AK45" i="2" s="1"/>
  <c r="AL41" i="2"/>
  <c r="AL127" i="2"/>
  <c r="AL44" i="2" s="1"/>
  <c r="AK44" i="2" s="1"/>
  <c r="AF127" i="2"/>
  <c r="AF44" i="2" s="1"/>
  <c r="AE44" i="2" s="1"/>
  <c r="AF128" i="2"/>
  <c r="AF45" i="2" s="1"/>
  <c r="AE45" i="2" s="1"/>
  <c r="AF41" i="2"/>
  <c r="D160" i="1"/>
  <c r="AF129" i="2"/>
  <c r="AF46" i="2" s="1"/>
  <c r="AE46" i="2" s="1"/>
  <c r="C140" i="1"/>
  <c r="N150" i="3" s="1"/>
  <c r="W38" i="2"/>
  <c r="W39" i="2" s="1"/>
  <c r="W43" i="2" s="1"/>
  <c r="V43" i="2" s="1"/>
  <c r="T41" i="2"/>
  <c r="T127" i="2"/>
  <c r="T128" i="2"/>
  <c r="T45" i="2" s="1"/>
  <c r="S45" i="2" s="1"/>
  <c r="T129" i="2"/>
  <c r="T46" i="2" s="1"/>
  <c r="S46" i="2" s="1"/>
  <c r="D133" i="1"/>
  <c r="Z128" i="2"/>
  <c r="Z45" i="2" s="1"/>
  <c r="Y45" i="2" s="1"/>
  <c r="Z41" i="2"/>
  <c r="D146" i="1"/>
  <c r="Z127" i="2"/>
  <c r="Z44" i="2"/>
  <c r="Y44" i="2" s="1"/>
  <c r="Z129" i="2"/>
  <c r="Z46" i="2" s="1"/>
  <c r="Y46" i="2" s="1"/>
  <c r="C174" i="1"/>
  <c r="N533" i="3" s="1"/>
  <c r="AL38" i="2"/>
  <c r="AL39" i="2" s="1"/>
  <c r="AL43" i="2" s="1"/>
  <c r="AK43" i="2" s="1"/>
  <c r="S310" i="3"/>
  <c r="S342" i="3"/>
  <c r="S344" i="3"/>
  <c r="S346" i="3"/>
  <c r="S345" i="3"/>
  <c r="S309" i="3"/>
  <c r="S343" i="3"/>
  <c r="S341" i="3"/>
  <c r="S308" i="3"/>
  <c r="S307" i="3" s="1"/>
  <c r="S311" i="3"/>
  <c r="S312" i="3"/>
  <c r="S313" i="3" s="1"/>
  <c r="S314" i="3" s="1"/>
  <c r="AH41" i="2"/>
  <c r="AG41" i="2" s="1"/>
  <c r="AI51" i="2"/>
  <c r="AI55" i="2" s="1"/>
  <c r="W41" i="2"/>
  <c r="W127" i="2"/>
  <c r="W44" i="2" s="1"/>
  <c r="V44" i="2" s="1"/>
  <c r="W128" i="2"/>
  <c r="W45" i="2" s="1"/>
  <c r="V45" i="2" s="1"/>
  <c r="W129" i="2"/>
  <c r="W46" i="2" s="1"/>
  <c r="V46" i="2" s="1"/>
  <c r="W37" i="2"/>
  <c r="D140" i="1"/>
  <c r="Q38" i="2"/>
  <c r="Q39" i="2" s="1"/>
  <c r="Q43" i="2" s="1"/>
  <c r="P43" i="2" s="1"/>
  <c r="C126" i="1"/>
  <c r="N6" i="3" s="1"/>
  <c r="AF38" i="2"/>
  <c r="AF39" i="2" s="1"/>
  <c r="AF43" i="2" s="1"/>
  <c r="AE43" i="2" s="1"/>
  <c r="C160" i="1"/>
  <c r="N366" i="3" s="1"/>
  <c r="W51" i="12" l="1"/>
  <c r="C31" i="13" s="1"/>
  <c r="C32" i="13" s="1"/>
  <c r="S496" i="3"/>
  <c r="S495" i="3" s="1"/>
  <c r="S494" i="3" s="1"/>
  <c r="S486" i="3"/>
  <c r="S487" i="3" s="1"/>
  <c r="S581" i="3"/>
  <c r="S587" i="3"/>
  <c r="S586" i="3" s="1"/>
  <c r="S585" i="3" s="1"/>
  <c r="S578" i="3"/>
  <c r="P46" i="2"/>
  <c r="P44" i="2"/>
  <c r="AD21" i="3"/>
  <c r="AS8" i="3"/>
  <c r="AT8" i="3" s="1"/>
  <c r="T44" i="2"/>
  <c r="S44" i="2" s="1"/>
  <c r="AR9" i="3"/>
  <c r="AS9" i="3" s="1"/>
  <c r="AT9" i="3" s="1"/>
  <c r="S456" i="3"/>
  <c r="S458" i="3" s="1"/>
  <c r="S455" i="3"/>
  <c r="AC51" i="2"/>
  <c r="AR11" i="3"/>
  <c r="AS11" i="3" s="1"/>
  <c r="AT11" i="3" s="1"/>
  <c r="AS10" i="3"/>
  <c r="AT10" i="3" s="1"/>
  <c r="AR12" i="3"/>
  <c r="I15" i="3"/>
  <c r="L15" i="3" s="1"/>
  <c r="J16" i="3"/>
  <c r="S546" i="3"/>
  <c r="S547" i="3"/>
  <c r="S548" i="3" s="1"/>
  <c r="V41" i="2"/>
  <c r="U41" i="2" s="1"/>
  <c r="W51" i="2"/>
  <c r="W55" i="2" s="1"/>
  <c r="S362" i="3"/>
  <c r="S364" i="3"/>
  <c r="AE41" i="2"/>
  <c r="AD41" i="2" s="1"/>
  <c r="AF51" i="2"/>
  <c r="AF55" i="2" s="1"/>
  <c r="S93" i="3"/>
  <c r="S129" i="3"/>
  <c r="S94" i="3"/>
  <c r="S128" i="3"/>
  <c r="S90" i="3"/>
  <c r="S92" i="3"/>
  <c r="S127" i="3"/>
  <c r="S125" i="3"/>
  <c r="S126" i="3"/>
  <c r="S96" i="3"/>
  <c r="S95" i="3"/>
  <c r="P41" i="2"/>
  <c r="O41" i="2" s="1"/>
  <c r="Q51" i="2"/>
  <c r="Q55" i="2" s="1"/>
  <c r="S379" i="3"/>
  <c r="S413" i="3"/>
  <c r="AI52" i="2"/>
  <c r="B164" i="1"/>
  <c r="S166" i="3"/>
  <c r="S200" i="3" s="1"/>
  <c r="S168" i="3"/>
  <c r="S202" i="3" s="1"/>
  <c r="S167" i="3"/>
  <c r="S165" i="3"/>
  <c r="S199" i="3" s="1"/>
  <c r="S217" i="3" s="1"/>
  <c r="S219" i="3" s="1"/>
  <c r="S164" i="3"/>
  <c r="S198" i="3" s="1"/>
  <c r="S163" i="3"/>
  <c r="S169" i="3"/>
  <c r="AK41" i="2"/>
  <c r="AJ41" i="2" s="1"/>
  <c r="AL51" i="2"/>
  <c r="AL55" i="2" s="1"/>
  <c r="AG42" i="2"/>
  <c r="AG43" i="2" s="1"/>
  <c r="AG44" i="2" s="1"/>
  <c r="AG45" i="2" s="1"/>
  <c r="AG46" i="2" s="1"/>
  <c r="AG47" i="2" s="1"/>
  <c r="AG48" i="2" s="1"/>
  <c r="S361" i="3"/>
  <c r="S363" i="3"/>
  <c r="S347" i="3"/>
  <c r="Y41" i="2"/>
  <c r="X41" i="2" s="1"/>
  <c r="Z51" i="2"/>
  <c r="Z55" i="2" s="1"/>
  <c r="S41" i="2"/>
  <c r="R41" i="2" s="1"/>
  <c r="S236" i="3"/>
  <c r="S238" i="3"/>
  <c r="S240" i="3"/>
  <c r="S241" i="3" s="1"/>
  <c r="S419" i="3" s="1"/>
  <c r="S237" i="3"/>
  <c r="S235" i="3"/>
  <c r="S239" i="3"/>
  <c r="AA42" i="2"/>
  <c r="AA43" i="2" s="1"/>
  <c r="AA44" i="2" s="1"/>
  <c r="AA45" i="2" s="1"/>
  <c r="AA46" i="2" s="1"/>
  <c r="AA47" i="2" s="1"/>
  <c r="AA48" i="2" s="1"/>
  <c r="I23" i="13" l="1"/>
  <c r="S488" i="3"/>
  <c r="S489" i="3" s="1"/>
  <c r="S523" i="3"/>
  <c r="S521" i="3"/>
  <c r="S522" i="3"/>
  <c r="S517" i="3"/>
  <c r="S518" i="3"/>
  <c r="S519" i="3" s="1"/>
  <c r="S614" i="3"/>
  <c r="S579" i="3"/>
  <c r="S580" i="3" s="1"/>
  <c r="S613" i="3"/>
  <c r="S612" i="3"/>
  <c r="S608" i="3"/>
  <c r="S609" i="3"/>
  <c r="T51" i="2"/>
  <c r="T55" i="2" s="1"/>
  <c r="S459" i="3"/>
  <c r="S460" i="3"/>
  <c r="S461" i="3" s="1"/>
  <c r="S462" i="3" s="1"/>
  <c r="S457" i="3"/>
  <c r="V510" i="3" s="1"/>
  <c r="X510" i="3" s="1"/>
  <c r="S510" i="3" s="1"/>
  <c r="B150" i="1"/>
  <c r="AC55" i="2"/>
  <c r="AC52" i="2"/>
  <c r="E150" i="1" s="1"/>
  <c r="AR14" i="3"/>
  <c r="AS12" i="3"/>
  <c r="AT12" i="3" s="1"/>
  <c r="AR13" i="3"/>
  <c r="AS13" i="3" s="1"/>
  <c r="AT13" i="3" s="1"/>
  <c r="I16" i="3"/>
  <c r="L16" i="3" s="1"/>
  <c r="J17" i="3"/>
  <c r="AI57" i="2"/>
  <c r="AI63" i="2"/>
  <c r="AI65" i="2"/>
  <c r="AI58" i="2"/>
  <c r="AI61" i="2"/>
  <c r="AI60" i="2"/>
  <c r="R42" i="2"/>
  <c r="R43" i="2" s="1"/>
  <c r="R44" i="2" s="1"/>
  <c r="R45" i="2" s="1"/>
  <c r="R46" i="2" s="1"/>
  <c r="R47" i="2" s="1"/>
  <c r="R48" i="2" s="1"/>
  <c r="B144" i="1"/>
  <c r="Z52" i="2"/>
  <c r="AD42" i="2"/>
  <c r="AD43" i="2" s="1"/>
  <c r="AD44" i="2" s="1"/>
  <c r="AD45" i="2" s="1"/>
  <c r="AD46" i="2" s="1"/>
  <c r="AD47" i="2" s="1"/>
  <c r="AD48" i="2" s="1"/>
  <c r="AF62" i="2" s="1"/>
  <c r="AC57" i="2"/>
  <c r="AC63" i="2"/>
  <c r="S274" i="3"/>
  <c r="S273" i="3"/>
  <c r="S270" i="3"/>
  <c r="S272" i="3"/>
  <c r="S271" i="3"/>
  <c r="S269" i="3"/>
  <c r="X42" i="2"/>
  <c r="X43" i="2" s="1"/>
  <c r="X44" i="2" s="1"/>
  <c r="X45" i="2" s="1"/>
  <c r="X46" i="2" s="1"/>
  <c r="X47" i="2" s="1"/>
  <c r="X48" i="2" s="1"/>
  <c r="AI64" i="2"/>
  <c r="AI62" i="2"/>
  <c r="AI59" i="2"/>
  <c r="B171" i="1"/>
  <c r="AL52" i="2"/>
  <c r="S382" i="3"/>
  <c r="S381" i="3"/>
  <c r="V434" i="3" s="1"/>
  <c r="S380" i="3"/>
  <c r="S383" i="3"/>
  <c r="S384" i="3"/>
  <c r="S385" i="3" s="1"/>
  <c r="S386" i="3" s="1"/>
  <c r="S146" i="3"/>
  <c r="S97" i="3"/>
  <c r="S148" i="3"/>
  <c r="S98" i="3"/>
  <c r="S105" i="3" s="1"/>
  <c r="S91" i="3"/>
  <c r="S147" i="3"/>
  <c r="S130" i="3"/>
  <c r="S145" i="3"/>
  <c r="V586" i="3"/>
  <c r="S549" i="3"/>
  <c r="S550" i="3" s="1"/>
  <c r="S551" i="3" s="1"/>
  <c r="S552" i="3" s="1"/>
  <c r="S553" i="3" s="1"/>
  <c r="S73" i="3"/>
  <c r="S75" i="3"/>
  <c r="AC60" i="2"/>
  <c r="S276" i="3"/>
  <c r="S268" i="3" s="1"/>
  <c r="S231" i="3"/>
  <c r="S411" i="3"/>
  <c r="S234" i="3"/>
  <c r="S232" i="3"/>
  <c r="S420" i="3"/>
  <c r="S412" i="3" s="1"/>
  <c r="S275" i="3"/>
  <c r="S267" i="3" s="1"/>
  <c r="S230" i="3"/>
  <c r="S229" i="3"/>
  <c r="S233" i="3"/>
  <c r="S242" i="3"/>
  <c r="S228" i="3"/>
  <c r="S197" i="3"/>
  <c r="S162" i="3"/>
  <c r="S414" i="3"/>
  <c r="S415" i="3"/>
  <c r="S417" i="3"/>
  <c r="S416" i="3"/>
  <c r="S418" i="3"/>
  <c r="AC61" i="2"/>
  <c r="AC58" i="2"/>
  <c r="S339" i="3"/>
  <c r="S348" i="3"/>
  <c r="S340" i="3" s="1"/>
  <c r="AJ42" i="2"/>
  <c r="AJ43" i="2" s="1"/>
  <c r="AJ44" i="2" s="1"/>
  <c r="AJ45" i="2" s="1"/>
  <c r="AJ46" i="2" s="1"/>
  <c r="AJ47" i="2" s="1"/>
  <c r="AJ48" i="2" s="1"/>
  <c r="B124" i="1"/>
  <c r="Q52" i="2"/>
  <c r="S89" i="3"/>
  <c r="S83" i="3"/>
  <c r="B137" i="1"/>
  <c r="W52" i="2"/>
  <c r="AC65" i="2"/>
  <c r="AC64" i="2"/>
  <c r="AC59" i="2"/>
  <c r="AC62" i="2"/>
  <c r="S292" i="3"/>
  <c r="S290" i="3"/>
  <c r="S170" i="3"/>
  <c r="S203" i="3"/>
  <c r="S201" i="3"/>
  <c r="S218" i="3"/>
  <c r="S220" i="3" s="1"/>
  <c r="P73" i="2"/>
  <c r="E164" i="1"/>
  <c r="O42" i="2"/>
  <c r="O43" i="2" s="1"/>
  <c r="O44" i="2" s="1"/>
  <c r="O45" i="2" s="1"/>
  <c r="O46" i="2" s="1"/>
  <c r="O47" i="2" s="1"/>
  <c r="O48" i="2" s="1"/>
  <c r="AF52" i="2"/>
  <c r="B157" i="1"/>
  <c r="V511" i="3"/>
  <c r="V509" i="3"/>
  <c r="U42" i="2"/>
  <c r="U43" i="2" s="1"/>
  <c r="U44" i="2" s="1"/>
  <c r="U45" i="2" s="1"/>
  <c r="U46" i="2" s="1"/>
  <c r="U47" i="2" s="1"/>
  <c r="U48" i="2" s="1"/>
  <c r="S76" i="3"/>
  <c r="S74" i="3"/>
  <c r="S610" i="3" l="1"/>
  <c r="T52" i="2"/>
  <c r="E130" i="1" s="1"/>
  <c r="B130" i="1"/>
  <c r="P71" i="2"/>
  <c r="V512" i="3"/>
  <c r="X516" i="3" s="1"/>
  <c r="S516" i="3" s="1"/>
  <c r="X514" i="3"/>
  <c r="S514" i="3" s="1"/>
  <c r="AM55" i="2"/>
  <c r="A189" i="1" s="1"/>
  <c r="T58" i="2"/>
  <c r="AR15" i="3"/>
  <c r="AS15" i="3" s="1"/>
  <c r="AT15" i="3" s="1"/>
  <c r="AS14" i="3"/>
  <c r="AT14" i="3" s="1"/>
  <c r="AR16" i="3"/>
  <c r="T60" i="2"/>
  <c r="T63" i="2"/>
  <c r="J18" i="3"/>
  <c r="I17" i="3"/>
  <c r="L17" i="3" s="1"/>
  <c r="T57" i="2"/>
  <c r="T59" i="2"/>
  <c r="T64" i="2"/>
  <c r="T62" i="2"/>
  <c r="Q61" i="2"/>
  <c r="W60" i="2"/>
  <c r="W64" i="2"/>
  <c r="Q63" i="2"/>
  <c r="AF61" i="2"/>
  <c r="W62" i="2"/>
  <c r="Q64" i="2"/>
  <c r="AF57" i="2"/>
  <c r="W65" i="2"/>
  <c r="W61" i="2"/>
  <c r="Q57" i="2"/>
  <c r="Q59" i="2"/>
  <c r="Q73" i="2"/>
  <c r="AL62" i="2"/>
  <c r="T61" i="2"/>
  <c r="W59" i="2"/>
  <c r="W58" i="2"/>
  <c r="Q62" i="2"/>
  <c r="Q60" i="2"/>
  <c r="AF65" i="2"/>
  <c r="W57" i="2"/>
  <c r="W63" i="2"/>
  <c r="Q65" i="2"/>
  <c r="Q58" i="2"/>
  <c r="AL61" i="2"/>
  <c r="T65" i="2"/>
  <c r="AL63" i="2"/>
  <c r="P69" i="2"/>
  <c r="E137" i="1"/>
  <c r="S196" i="3"/>
  <c r="S195" i="3" s="1"/>
  <c r="S189" i="3" s="1"/>
  <c r="S161" i="3"/>
  <c r="S155" i="3" s="1"/>
  <c r="M13" i="3" s="1"/>
  <c r="S131" i="3"/>
  <c r="Z60" i="2"/>
  <c r="P72" i="2"/>
  <c r="E157" i="1"/>
  <c r="S88" i="3"/>
  <c r="S85" i="3"/>
  <c r="S87" i="3"/>
  <c r="S84" i="3"/>
  <c r="S82" i="3"/>
  <c r="S86" i="3"/>
  <c r="S116" i="3"/>
  <c r="AL60" i="2"/>
  <c r="AL65" i="2"/>
  <c r="AL57" i="2"/>
  <c r="V436" i="3"/>
  <c r="X434" i="3"/>
  <c r="S434" i="3" s="1"/>
  <c r="X438" i="3"/>
  <c r="S438" i="3" s="1"/>
  <c r="Z64" i="2"/>
  <c r="Z65" i="2"/>
  <c r="Z62" i="2"/>
  <c r="Q71" i="2"/>
  <c r="Z57" i="2"/>
  <c r="X513" i="3"/>
  <c r="S513" i="3" s="1"/>
  <c r="X509" i="3"/>
  <c r="S509" i="3" s="1"/>
  <c r="AL59" i="2"/>
  <c r="X586" i="3"/>
  <c r="S601" i="3" s="1"/>
  <c r="V588" i="3"/>
  <c r="X590" i="3"/>
  <c r="S605" i="3" s="1"/>
  <c r="Z59" i="2"/>
  <c r="Z58" i="2"/>
  <c r="S291" i="3"/>
  <c r="S289" i="3"/>
  <c r="AF64" i="2"/>
  <c r="AF58" i="2"/>
  <c r="E144" i="1"/>
  <c r="P70" i="2"/>
  <c r="X511" i="3"/>
  <c r="S511" i="3" s="1"/>
  <c r="S520" i="3" s="1"/>
  <c r="S524" i="3" s="1"/>
  <c r="X515" i="3"/>
  <c r="S515" i="3" s="1"/>
  <c r="S204" i="3"/>
  <c r="S210" i="3" s="1"/>
  <c r="S176" i="3"/>
  <c r="P67" i="2"/>
  <c r="E124" i="1"/>
  <c r="AL58" i="2"/>
  <c r="AL64" i="2"/>
  <c r="V585" i="3"/>
  <c r="V587" i="3"/>
  <c r="S584" i="3"/>
  <c r="S582" i="3"/>
  <c r="S583" i="3"/>
  <c r="V433" i="3"/>
  <c r="V435" i="3"/>
  <c r="S246" i="3"/>
  <c r="S243" i="3"/>
  <c r="S249" i="3"/>
  <c r="S245" i="3"/>
  <c r="S248" i="3"/>
  <c r="S247" i="3"/>
  <c r="S244" i="3"/>
  <c r="E171" i="1"/>
  <c r="P74" i="2"/>
  <c r="Z61" i="2"/>
  <c r="Z63" i="2"/>
  <c r="AF59" i="2"/>
  <c r="AF63" i="2"/>
  <c r="AF60" i="2"/>
  <c r="S525" i="3" l="1"/>
  <c r="S526" i="3" s="1"/>
  <c r="S527" i="3" s="1"/>
  <c r="S528" i="3" s="1"/>
  <c r="B4" i="6"/>
  <c r="X512" i="3"/>
  <c r="S512" i="3" s="1"/>
  <c r="P68" i="2"/>
  <c r="C168" i="1"/>
  <c r="AI56" i="2"/>
  <c r="C154" i="1"/>
  <c r="AC56" i="2"/>
  <c r="AR17" i="3"/>
  <c r="AS17" i="3" s="1"/>
  <c r="AT17" i="3" s="1"/>
  <c r="AR18" i="3"/>
  <c r="AS16" i="3"/>
  <c r="AT16" i="3" s="1"/>
  <c r="Q68" i="2"/>
  <c r="C134" i="1" s="1"/>
  <c r="I18" i="3"/>
  <c r="L18" i="3" s="1"/>
  <c r="J19" i="3"/>
  <c r="Q67" i="2"/>
  <c r="Q69" i="2"/>
  <c r="Q72" i="2"/>
  <c r="X585" i="3"/>
  <c r="S600" i="3" s="1"/>
  <c r="X589" i="3"/>
  <c r="S604" i="3" s="1"/>
  <c r="X439" i="3"/>
  <c r="S439" i="3" s="1"/>
  <c r="X435" i="3"/>
  <c r="S435" i="3" s="1"/>
  <c r="X592" i="3"/>
  <c r="S607" i="3" s="1"/>
  <c r="X588" i="3"/>
  <c r="S603" i="3" s="1"/>
  <c r="S104" i="3"/>
  <c r="S102" i="3" s="1"/>
  <c r="S117" i="3"/>
  <c r="X433" i="3"/>
  <c r="S433" i="3" s="1"/>
  <c r="X437" i="3"/>
  <c r="S437" i="3" s="1"/>
  <c r="S172" i="3"/>
  <c r="S175" i="3"/>
  <c r="S174" i="3"/>
  <c r="S173" i="3"/>
  <c r="S171" i="3"/>
  <c r="S177" i="3"/>
  <c r="S178" i="3" s="1"/>
  <c r="S179" i="3" s="1"/>
  <c r="S156" i="3"/>
  <c r="M14" i="3" s="1"/>
  <c r="S157" i="3"/>
  <c r="M15" i="3" s="1"/>
  <c r="S154" i="3"/>
  <c r="M12" i="3" s="1"/>
  <c r="S160" i="3"/>
  <c r="S158" i="3"/>
  <c r="M16" i="3" s="1"/>
  <c r="S159" i="3"/>
  <c r="M17" i="3" s="1"/>
  <c r="X587" i="3"/>
  <c r="S602" i="3" s="1"/>
  <c r="X591" i="3"/>
  <c r="S606" i="3" s="1"/>
  <c r="S209" i="3"/>
  <c r="S208" i="3"/>
  <c r="S206" i="3"/>
  <c r="S213" i="3"/>
  <c r="S205" i="3"/>
  <c r="S212" i="3"/>
  <c r="S207" i="3"/>
  <c r="S211" i="3"/>
  <c r="Q70" i="2"/>
  <c r="X436" i="3"/>
  <c r="S436" i="3" s="1"/>
  <c r="X440" i="3"/>
  <c r="S440" i="3" s="1"/>
  <c r="Q74" i="2"/>
  <c r="S132" i="3"/>
  <c r="S188" i="3"/>
  <c r="S193" i="3"/>
  <c r="S194" i="3"/>
  <c r="S192" i="3"/>
  <c r="S191" i="3"/>
  <c r="S190" i="3"/>
  <c r="S611" i="3" l="1"/>
  <c r="C127" i="1"/>
  <c r="Q56" i="2"/>
  <c r="T56" i="2"/>
  <c r="M18" i="3"/>
  <c r="C147" i="1"/>
  <c r="Z56" i="2"/>
  <c r="C175" i="1"/>
  <c r="AL56" i="2"/>
  <c r="AR19" i="3"/>
  <c r="AS19" i="3" s="1"/>
  <c r="AT19" i="3" s="1"/>
  <c r="AR20" i="3"/>
  <c r="AS18" i="3"/>
  <c r="AT18" i="3" s="1"/>
  <c r="C141" i="1"/>
  <c r="W56" i="2"/>
  <c r="I19" i="3"/>
  <c r="J20" i="3"/>
  <c r="C161" i="1"/>
  <c r="AF56" i="2"/>
  <c r="S123" i="3"/>
  <c r="S118" i="3" s="1"/>
  <c r="S139" i="3"/>
  <c r="S99" i="3"/>
  <c r="S103" i="3"/>
  <c r="S100" i="3"/>
  <c r="S101" i="3"/>
  <c r="S615" i="3" l="1"/>
  <c r="AM56" i="2"/>
  <c r="AS20" i="3"/>
  <c r="AT20" i="3" s="1"/>
  <c r="AR21" i="3"/>
  <c r="AS21" i="3" s="1"/>
  <c r="AT21" i="3" s="1"/>
  <c r="AR22" i="3"/>
  <c r="I20" i="3"/>
  <c r="J21" i="3"/>
  <c r="L19" i="3"/>
  <c r="M19" i="3"/>
  <c r="S119" i="3"/>
  <c r="S122" i="3"/>
  <c r="S121" i="3"/>
  <c r="S120" i="3"/>
  <c r="S138" i="3"/>
  <c r="S124" i="3"/>
  <c r="S616" i="3" l="1"/>
  <c r="S617" i="3" s="1"/>
  <c r="S618" i="3" s="1"/>
  <c r="AS22" i="3"/>
  <c r="AT22" i="3" s="1"/>
  <c r="AR24" i="3"/>
  <c r="AR23" i="3"/>
  <c r="AS23" i="3" s="1"/>
  <c r="AT23" i="3" s="1"/>
  <c r="L20" i="3"/>
  <c r="B19" i="10" s="1"/>
  <c r="C19" i="10" s="1"/>
  <c r="M20" i="3"/>
  <c r="I21" i="3"/>
  <c r="J22" i="3"/>
  <c r="S134" i="3"/>
  <c r="S135" i="3"/>
  <c r="S137" i="3"/>
  <c r="S133" i="3"/>
  <c r="S136" i="3"/>
  <c r="S619" i="3" l="1"/>
  <c r="F9" i="10"/>
  <c r="F8" i="10"/>
  <c r="AR25" i="3"/>
  <c r="AS25" i="3" s="1"/>
  <c r="AT25" i="3" s="1"/>
  <c r="AR26" i="3"/>
  <c r="AS24" i="3"/>
  <c r="AT24" i="3" s="1"/>
  <c r="I22" i="3"/>
  <c r="J23" i="3"/>
  <c r="L21" i="3"/>
  <c r="M21" i="3"/>
  <c r="AC23" i="3" l="1"/>
  <c r="AC29" i="3" s="1"/>
  <c r="AC24" i="3"/>
  <c r="AC31" i="3"/>
  <c r="AC32" i="3"/>
  <c r="F16" i="10"/>
  <c r="AR27" i="3"/>
  <c r="AS27" i="3" s="1"/>
  <c r="AT27" i="3" s="1"/>
  <c r="AS26" i="3"/>
  <c r="AT26" i="3" s="1"/>
  <c r="AR28" i="3"/>
  <c r="AC26" i="3"/>
  <c r="AC27" i="3"/>
  <c r="J24" i="3"/>
  <c r="I23" i="3"/>
  <c r="L22" i="3"/>
  <c r="M22" i="3"/>
  <c r="AW16" i="3" s="1"/>
  <c r="AC30" i="3" l="1"/>
  <c r="T7" i="10"/>
  <c r="Y7" i="10"/>
  <c r="AR29" i="3"/>
  <c r="AS29" i="3" s="1"/>
  <c r="AT29" i="3" s="1"/>
  <c r="AS28" i="3"/>
  <c r="AT28" i="3" s="1"/>
  <c r="AR30" i="3"/>
  <c r="L23" i="3"/>
  <c r="M23" i="3"/>
  <c r="N23" i="3" s="1"/>
  <c r="J25" i="3"/>
  <c r="I24" i="3"/>
  <c r="G22" i="3" l="1"/>
  <c r="L8" i="6"/>
  <c r="X308" i="10"/>
  <c r="X116" i="10"/>
  <c r="X298" i="10"/>
  <c r="X326" i="10"/>
  <c r="X184" i="10"/>
  <c r="X333" i="10"/>
  <c r="X227" i="10"/>
  <c r="X132" i="10"/>
  <c r="X68" i="10"/>
  <c r="X309" i="10"/>
  <c r="X359" i="10"/>
  <c r="X245" i="10"/>
  <c r="X148" i="10"/>
  <c r="X82" i="10"/>
  <c r="X21" i="10"/>
  <c r="X344" i="10"/>
  <c r="X266" i="10"/>
  <c r="X234" i="10"/>
  <c r="X185" i="10"/>
  <c r="X218" i="10"/>
  <c r="X155" i="10"/>
  <c r="X123" i="10"/>
  <c r="X91" i="10"/>
  <c r="X59" i="10"/>
  <c r="X320" i="10"/>
  <c r="X53" i="10"/>
  <c r="X357" i="10"/>
  <c r="X154" i="10"/>
  <c r="X321" i="10"/>
  <c r="X269" i="10"/>
  <c r="X106" i="10"/>
  <c r="X356" i="10"/>
  <c r="X246" i="10"/>
  <c r="X13" i="10"/>
  <c r="X135" i="10"/>
  <c r="X71" i="10"/>
  <c r="X316" i="10"/>
  <c r="X11" i="10"/>
  <c r="X337" i="10"/>
  <c r="X150" i="10"/>
  <c r="X311" i="10"/>
  <c r="X249" i="10"/>
  <c r="X86" i="10"/>
  <c r="X346" i="10"/>
  <c r="X324" i="10"/>
  <c r="X197" i="10"/>
  <c r="X281" i="10"/>
  <c r="X363" i="10"/>
  <c r="X255" i="10"/>
  <c r="X158" i="10"/>
  <c r="X96" i="10"/>
  <c r="X323" i="10"/>
  <c r="X291" i="10"/>
  <c r="X273" i="10"/>
  <c r="X176" i="10"/>
  <c r="X110" i="10"/>
  <c r="X35" i="10"/>
  <c r="X358" i="10"/>
  <c r="X285" i="10"/>
  <c r="X248" i="10"/>
  <c r="X201" i="10"/>
  <c r="X15" i="10"/>
  <c r="X169" i="10"/>
  <c r="X137" i="10"/>
  <c r="X105" i="10"/>
  <c r="X73" i="10"/>
  <c r="X28" i="10"/>
  <c r="X192" i="10"/>
  <c r="X235" i="10"/>
  <c r="X76" i="10"/>
  <c r="X365" i="10"/>
  <c r="X156" i="10"/>
  <c r="X25" i="10"/>
  <c r="X270" i="10"/>
  <c r="X189" i="10"/>
  <c r="X159" i="10"/>
  <c r="X95" i="10"/>
  <c r="X302" i="10"/>
  <c r="X353" i="10"/>
  <c r="X134" i="10"/>
  <c r="X319" i="10"/>
  <c r="X265" i="10"/>
  <c r="X102" i="10"/>
  <c r="X354" i="10"/>
  <c r="X244" i="10"/>
  <c r="X157" i="10"/>
  <c r="X16" i="10"/>
  <c r="X196" i="10"/>
  <c r="X40" i="10"/>
  <c r="X141" i="10"/>
  <c r="X195" i="10"/>
  <c r="X69" i="10"/>
  <c r="X10" i="10"/>
  <c r="X214" i="10"/>
  <c r="X47" i="10"/>
  <c r="X275" i="10"/>
  <c r="X178" i="10"/>
  <c r="X43" i="10"/>
  <c r="X301" i="10"/>
  <c r="X114" i="10"/>
  <c r="X51" i="10"/>
  <c r="X120" i="10"/>
  <c r="X315" i="10"/>
  <c r="X177" i="10"/>
  <c r="X14" i="10"/>
  <c r="X143" i="10"/>
  <c r="X338" i="10"/>
  <c r="X283" i="10"/>
  <c r="X286" i="10"/>
  <c r="X210" i="10"/>
  <c r="X331" i="10"/>
  <c r="X80" i="10"/>
  <c r="X339" i="10"/>
  <c r="X160" i="10"/>
  <c r="X366" i="10"/>
  <c r="X232" i="10"/>
  <c r="X161" i="10"/>
  <c r="X81" i="10"/>
  <c r="X341" i="10"/>
  <c r="X335" i="10"/>
  <c r="X332" i="10"/>
  <c r="X127" i="10"/>
  <c r="X282" i="10"/>
  <c r="X72" i="10"/>
  <c r="X41" i="10"/>
  <c r="X220" i="10"/>
  <c r="X117" i="10"/>
  <c r="X165" i="10"/>
  <c r="X200" i="10"/>
  <c r="X367" i="10"/>
  <c r="X162" i="10"/>
  <c r="X325" i="10"/>
  <c r="X343" i="10"/>
  <c r="X180" i="10"/>
  <c r="X98" i="10"/>
  <c r="X368" i="10"/>
  <c r="X287" i="10"/>
  <c r="X242" i="10"/>
  <c r="X52" i="10"/>
  <c r="X171" i="10"/>
  <c r="X131" i="10"/>
  <c r="X83" i="10"/>
  <c r="X30" i="10"/>
  <c r="X194" i="10"/>
  <c r="X288" i="10"/>
  <c r="X92" i="10"/>
  <c r="X351" i="10"/>
  <c r="X74" i="10"/>
  <c r="X181" i="10"/>
  <c r="X119" i="10"/>
  <c r="X26" i="10"/>
  <c r="X190" i="10"/>
  <c r="X263" i="10"/>
  <c r="X88" i="10"/>
  <c r="X70" i="10"/>
  <c r="X268" i="10"/>
  <c r="X202" i="10"/>
  <c r="X174" i="10"/>
  <c r="X307" i="10"/>
  <c r="X78" i="10"/>
  <c r="X272" i="10"/>
  <c r="X50" i="10"/>
  <c r="X121" i="10"/>
  <c r="X20" i="10"/>
  <c r="X108" i="10"/>
  <c r="X90" i="10"/>
  <c r="X48" i="10"/>
  <c r="X34" i="10"/>
  <c r="X347" i="10"/>
  <c r="X276" i="10"/>
  <c r="X228" i="10"/>
  <c r="X173" i="10"/>
  <c r="X186" i="10"/>
  <c r="X349" i="10"/>
  <c r="X317" i="10"/>
  <c r="X164" i="10"/>
  <c r="X274" i="10"/>
  <c r="X163" i="10"/>
  <c r="X75" i="10"/>
  <c r="X251" i="10"/>
  <c r="X328" i="10"/>
  <c r="X292" i="10"/>
  <c r="X259" i="10"/>
  <c r="X100" i="10"/>
  <c r="X293" i="10"/>
  <c r="X261" i="10"/>
  <c r="X130" i="10"/>
  <c r="X39" i="10"/>
  <c r="X352" i="10"/>
  <c r="X258" i="10"/>
  <c r="X203" i="10"/>
  <c r="X226" i="10"/>
  <c r="X147" i="10"/>
  <c r="X107" i="10"/>
  <c r="X67" i="10"/>
  <c r="X290" i="10"/>
  <c r="X277" i="10"/>
  <c r="X219" i="10"/>
  <c r="X305" i="10"/>
  <c r="X172" i="10"/>
  <c r="X17" i="10"/>
  <c r="X230" i="10"/>
  <c r="X167" i="10"/>
  <c r="X87" i="10"/>
  <c r="X279" i="10"/>
  <c r="X188" i="10"/>
  <c r="X215" i="10"/>
  <c r="X295" i="10"/>
  <c r="X152" i="10"/>
  <c r="X370" i="10"/>
  <c r="X310" i="10"/>
  <c r="X322" i="10"/>
  <c r="X45" i="10"/>
  <c r="X239" i="10"/>
  <c r="X128" i="10"/>
  <c r="X37" i="10"/>
  <c r="X369" i="10"/>
  <c r="X241" i="10"/>
  <c r="X126" i="10"/>
  <c r="X27" i="10"/>
  <c r="X342" i="10"/>
  <c r="X256" i="10"/>
  <c r="X191" i="10"/>
  <c r="X216" i="10"/>
  <c r="X145" i="10"/>
  <c r="X97" i="10"/>
  <c r="X57" i="10"/>
  <c r="X318" i="10"/>
  <c r="X170" i="10"/>
  <c r="X313" i="10"/>
  <c r="X221" i="10"/>
  <c r="X364" i="10"/>
  <c r="X238" i="10"/>
  <c r="X175" i="10"/>
  <c r="X79" i="10"/>
  <c r="X212" i="10"/>
  <c r="X166" i="10"/>
  <c r="X303" i="10"/>
  <c r="X168" i="10"/>
  <c r="X362" i="10"/>
  <c r="X236" i="10"/>
  <c r="X93" i="10"/>
  <c r="X54" i="10"/>
  <c r="X205" i="10"/>
  <c r="X77" i="10"/>
  <c r="X101" i="10"/>
  <c r="X312" i="10"/>
  <c r="X208" i="10"/>
  <c r="X243" i="10"/>
  <c r="X84" i="10"/>
  <c r="X278" i="10"/>
  <c r="X229" i="10"/>
  <c r="X29" i="10"/>
  <c r="X336" i="10"/>
  <c r="X250" i="10"/>
  <c r="X193" i="10"/>
  <c r="X179" i="10"/>
  <c r="X139" i="10"/>
  <c r="X99" i="10"/>
  <c r="X38" i="10"/>
  <c r="X206" i="10"/>
  <c r="X124" i="10"/>
  <c r="X289" i="10"/>
  <c r="X140" i="10"/>
  <c r="X340" i="10"/>
  <c r="X198" i="10"/>
  <c r="X151" i="10"/>
  <c r="X42" i="10"/>
  <c r="X204" i="10"/>
  <c r="X12" i="10"/>
  <c r="X361" i="10"/>
  <c r="X118" i="10"/>
  <c r="X330" i="10"/>
  <c r="X294" i="10"/>
  <c r="X304" i="10"/>
  <c r="X345" i="10"/>
  <c r="X223" i="10"/>
  <c r="X112" i="10"/>
  <c r="X355" i="10"/>
  <c r="X225" i="10"/>
  <c r="X94" i="10"/>
  <c r="X19" i="10"/>
  <c r="X334" i="10"/>
  <c r="X240" i="10"/>
  <c r="X183" i="10"/>
  <c r="X129" i="10"/>
  <c r="X89" i="10"/>
  <c r="X36" i="10"/>
  <c r="X138" i="10"/>
  <c r="X297" i="10"/>
  <c r="X122" i="10"/>
  <c r="X348" i="10"/>
  <c r="X207" i="10"/>
  <c r="X63" i="10"/>
  <c r="X49" i="10"/>
  <c r="X104" i="10"/>
  <c r="X280" i="10"/>
  <c r="X136" i="10"/>
  <c r="X187" i="10"/>
  <c r="X61" i="10"/>
  <c r="X149" i="10"/>
  <c r="X46" i="10"/>
  <c r="X32" i="10"/>
  <c r="X24" i="10"/>
  <c r="X146" i="10"/>
  <c r="X284" i="10"/>
  <c r="X64" i="10"/>
  <c r="X360" i="10"/>
  <c r="X211" i="10"/>
  <c r="X44" i="10"/>
  <c r="X115" i="10"/>
  <c r="X22" i="10"/>
  <c r="X300" i="10"/>
  <c r="X62" i="10"/>
  <c r="X33" i="10"/>
  <c r="X199" i="10"/>
  <c r="X247" i="10"/>
  <c r="X252" i="10"/>
  <c r="X142" i="10"/>
  <c r="X144" i="10"/>
  <c r="X209" i="10"/>
  <c r="X65" i="10"/>
  <c r="X253" i="10"/>
  <c r="X111" i="10"/>
  <c r="X233" i="10"/>
  <c r="X213" i="10"/>
  <c r="X103" i="10"/>
  <c r="X327" i="10"/>
  <c r="X182" i="10"/>
  <c r="X66" i="10"/>
  <c r="X60" i="10"/>
  <c r="X224" i="10"/>
  <c r="X306" i="10"/>
  <c r="X56" i="10"/>
  <c r="X314" i="10"/>
  <c r="X23" i="10"/>
  <c r="X85" i="10"/>
  <c r="X237" i="10"/>
  <c r="X18" i="10"/>
  <c r="X217" i="10"/>
  <c r="X55" i="10"/>
  <c r="X299" i="10"/>
  <c r="X350" i="10"/>
  <c r="X153" i="10"/>
  <c r="X267" i="10"/>
  <c r="X254" i="10"/>
  <c r="X231" i="10"/>
  <c r="X260" i="10"/>
  <c r="X109" i="10"/>
  <c r="X262" i="10"/>
  <c r="X296" i="10"/>
  <c r="X31" i="10"/>
  <c r="X271" i="10"/>
  <c r="X257" i="10"/>
  <c r="X264" i="10"/>
  <c r="X113" i="10"/>
  <c r="X329" i="10"/>
  <c r="X222" i="10"/>
  <c r="X58" i="10"/>
  <c r="X125" i="10"/>
  <c r="X133" i="10"/>
  <c r="S351" i="10"/>
  <c r="S318" i="10"/>
  <c r="S77" i="10"/>
  <c r="S153" i="10"/>
  <c r="S267" i="10"/>
  <c r="S348" i="10"/>
  <c r="S220" i="10"/>
  <c r="S92" i="10"/>
  <c r="S10" i="10"/>
  <c r="S95" i="10"/>
  <c r="S254" i="10"/>
  <c r="S28" i="10"/>
  <c r="S179" i="10"/>
  <c r="S309" i="10"/>
  <c r="S316" i="10"/>
  <c r="S188" i="10"/>
  <c r="S11" i="10"/>
  <c r="S193" i="10"/>
  <c r="S76" i="10"/>
  <c r="S118" i="10"/>
  <c r="S281" i="10"/>
  <c r="S151" i="10"/>
  <c r="S69" i="10"/>
  <c r="S252" i="10"/>
  <c r="S124" i="10"/>
  <c r="S34" i="10"/>
  <c r="S323" i="10"/>
  <c r="S357" i="10"/>
  <c r="S336" i="10"/>
  <c r="S208" i="10"/>
  <c r="S80" i="10"/>
  <c r="S225" i="10"/>
  <c r="S45" i="10"/>
  <c r="S134" i="10"/>
  <c r="S305" i="10"/>
  <c r="S207" i="10"/>
  <c r="S109" i="10"/>
  <c r="S266" i="10"/>
  <c r="S138" i="10"/>
  <c r="S40" i="10"/>
  <c r="S291" i="10"/>
  <c r="S238" i="10"/>
  <c r="S12" i="10"/>
  <c r="S83" i="10"/>
  <c r="S277" i="10"/>
  <c r="S308" i="10"/>
  <c r="S180" i="10"/>
  <c r="S73" i="10"/>
  <c r="S265" i="10"/>
  <c r="S167" i="10"/>
  <c r="S47" i="10"/>
  <c r="S264" i="10"/>
  <c r="S136" i="10"/>
  <c r="S38" i="10"/>
  <c r="S23" i="10"/>
  <c r="S246" i="10"/>
  <c r="S36" i="10"/>
  <c r="S251" i="10"/>
  <c r="S333" i="10"/>
  <c r="S322" i="10"/>
  <c r="S194" i="10"/>
  <c r="S35" i="10"/>
  <c r="S31" i="10"/>
  <c r="S358" i="10"/>
  <c r="S86" i="10"/>
  <c r="S217" i="10"/>
  <c r="S87" i="10"/>
  <c r="S364" i="10"/>
  <c r="S236" i="10"/>
  <c r="S108" i="10"/>
  <c r="S18" i="10"/>
  <c r="S131" i="10"/>
  <c r="S293" i="10"/>
  <c r="S320" i="10"/>
  <c r="S192" i="10"/>
  <c r="S27" i="10"/>
  <c r="S97" i="10"/>
  <c r="S350" i="10"/>
  <c r="S110" i="10"/>
  <c r="S241" i="10"/>
  <c r="S143" i="10"/>
  <c r="S29" i="10"/>
  <c r="S342" i="10"/>
  <c r="S356" i="10"/>
  <c r="S359" i="10"/>
  <c r="S57" i="10"/>
  <c r="S209" i="10"/>
  <c r="S210" i="10"/>
  <c r="S159" i="10"/>
  <c r="S341" i="10"/>
  <c r="S329" i="10"/>
  <c r="S152" i="10"/>
  <c r="S60" i="10"/>
  <c r="S250" i="10"/>
  <c r="S24" i="10"/>
  <c r="S259" i="10"/>
  <c r="S164" i="10"/>
  <c r="S21" i="10"/>
  <c r="S349" i="10"/>
  <c r="S269" i="10"/>
  <c r="S114" i="10"/>
  <c r="S142" i="10"/>
  <c r="S163" i="10"/>
  <c r="S156" i="10"/>
  <c r="S169" i="10"/>
  <c r="S229" i="10"/>
  <c r="S272" i="10"/>
  <c r="S112" i="10"/>
  <c r="S107" i="10"/>
  <c r="S262" i="10"/>
  <c r="S235" i="10"/>
  <c r="S79" i="10"/>
  <c r="S330" i="10"/>
  <c r="S170" i="10"/>
  <c r="S91" i="10"/>
  <c r="S13" i="10"/>
  <c r="S49" i="10"/>
  <c r="S247" i="10"/>
  <c r="S37" i="10"/>
  <c r="S212" i="10"/>
  <c r="S58" i="10"/>
  <c r="S227" i="10"/>
  <c r="S197" i="10"/>
  <c r="S232" i="10"/>
  <c r="S59" i="10"/>
  <c r="S319" i="10"/>
  <c r="S182" i="10"/>
  <c r="S273" i="10"/>
  <c r="S339" i="10"/>
  <c r="S290" i="10"/>
  <c r="S130" i="10"/>
  <c r="S321" i="10"/>
  <c r="S286" i="10"/>
  <c r="S355" i="10"/>
  <c r="S215" i="10"/>
  <c r="S332" i="10"/>
  <c r="S172" i="10"/>
  <c r="S50" i="10"/>
  <c r="S263" i="10"/>
  <c r="S53" i="10"/>
  <c r="S224" i="10"/>
  <c r="S62" i="10"/>
  <c r="S195" i="10"/>
  <c r="S166" i="10"/>
  <c r="S113" i="10"/>
  <c r="S301" i="10"/>
  <c r="S203" i="10"/>
  <c r="S228" i="10"/>
  <c r="S94" i="10"/>
  <c r="S146" i="10"/>
  <c r="S52" i="10"/>
  <c r="S43" i="10"/>
  <c r="S54" i="10"/>
  <c r="S147" i="10"/>
  <c r="S65" i="10"/>
  <c r="S201" i="10"/>
  <c r="S16" i="10"/>
  <c r="S337" i="10"/>
  <c r="S283" i="10"/>
  <c r="S279" i="10"/>
  <c r="S66" i="10"/>
  <c r="S327" i="10"/>
  <c r="S101" i="10"/>
  <c r="S240" i="10"/>
  <c r="S25" i="10"/>
  <c r="S127" i="10"/>
  <c r="S198" i="10"/>
  <c r="S177" i="10"/>
  <c r="S365" i="10"/>
  <c r="S298" i="10"/>
  <c r="S106" i="10"/>
  <c r="S129" i="10"/>
  <c r="S302" i="10"/>
  <c r="S39" i="10"/>
  <c r="S119" i="10"/>
  <c r="S340" i="10"/>
  <c r="S148" i="10"/>
  <c r="S26" i="10"/>
  <c r="S295" i="10"/>
  <c r="S360" i="10"/>
  <c r="S200" i="10"/>
  <c r="S70" i="10"/>
  <c r="S221" i="10"/>
  <c r="S126" i="10"/>
  <c r="S145" i="10"/>
  <c r="S205" i="10"/>
  <c r="S258" i="10"/>
  <c r="S98" i="10"/>
  <c r="S223" i="10"/>
  <c r="S222" i="10"/>
  <c r="S345" i="10"/>
  <c r="S71" i="10"/>
  <c r="S300" i="10"/>
  <c r="S140" i="10"/>
  <c r="S361" i="10"/>
  <c r="S135" i="10"/>
  <c r="S352" i="10"/>
  <c r="S160" i="10"/>
  <c r="S30" i="10"/>
  <c r="S157" i="10"/>
  <c r="S17" i="10"/>
  <c r="S155" i="10"/>
  <c r="S173" i="10"/>
  <c r="S51" i="10"/>
  <c r="S100" i="10"/>
  <c r="S184" i="10"/>
  <c r="S111" i="10"/>
  <c r="S82" i="10"/>
  <c r="S275" i="10"/>
  <c r="S231" i="10"/>
  <c r="S191" i="10"/>
  <c r="S338" i="10"/>
  <c r="S15" i="10"/>
  <c r="S213" i="10"/>
  <c r="S103" i="10"/>
  <c r="S214" i="10"/>
  <c r="S242" i="10"/>
  <c r="S257" i="10"/>
  <c r="S260" i="10"/>
  <c r="S123" i="10"/>
  <c r="S289" i="10"/>
  <c r="S239" i="10"/>
  <c r="S190" i="10"/>
  <c r="S284" i="10"/>
  <c r="S297" i="10"/>
  <c r="S55" i="10"/>
  <c r="S304" i="10"/>
  <c r="S144" i="10"/>
  <c r="S14" i="10"/>
  <c r="S326" i="10"/>
  <c r="S44" i="10"/>
  <c r="S335" i="10"/>
  <c r="S362" i="10"/>
  <c r="S202" i="10"/>
  <c r="S72" i="10"/>
  <c r="S189" i="10"/>
  <c r="S102" i="10"/>
  <c r="S121" i="10"/>
  <c r="S149" i="10"/>
  <c r="S244" i="10"/>
  <c r="S84" i="10"/>
  <c r="S137" i="10"/>
  <c r="S325" i="10"/>
  <c r="S296" i="10"/>
  <c r="S104" i="10"/>
  <c r="S161" i="10"/>
  <c r="S310" i="10"/>
  <c r="S139" i="10"/>
  <c r="S175" i="10"/>
  <c r="S354" i="10"/>
  <c r="S162" i="10"/>
  <c r="S32" i="10"/>
  <c r="S125" i="10"/>
  <c r="S68" i="10"/>
  <c r="S343" i="10"/>
  <c r="S117" i="10"/>
  <c r="S204" i="10"/>
  <c r="S41" i="10"/>
  <c r="S105" i="10"/>
  <c r="S165" i="10"/>
  <c r="S256" i="10"/>
  <c r="S96" i="10"/>
  <c r="S255" i="10"/>
  <c r="S230" i="10"/>
  <c r="S369" i="10"/>
  <c r="S243" i="10"/>
  <c r="S314" i="10"/>
  <c r="S363" i="10"/>
  <c r="S261" i="10"/>
  <c r="S334" i="10"/>
  <c r="S274" i="10"/>
  <c r="S270" i="10"/>
  <c r="S196" i="10"/>
  <c r="S280" i="10"/>
  <c r="S81" i="10"/>
  <c r="S122" i="10"/>
  <c r="S206" i="10"/>
  <c r="S74" i="10"/>
  <c r="S120" i="10"/>
  <c r="S367" i="10"/>
  <c r="S33" i="10"/>
  <c r="S183" i="10"/>
  <c r="S42" i="10"/>
  <c r="S216" i="10"/>
  <c r="S150" i="10"/>
  <c r="S282" i="10"/>
  <c r="S56" i="10"/>
  <c r="S312" i="10"/>
  <c r="S311" i="10"/>
  <c r="S22" i="10"/>
  <c r="S306" i="10"/>
  <c r="S85" i="10"/>
  <c r="S63" i="10"/>
  <c r="S88" i="10"/>
  <c r="S218" i="10"/>
  <c r="S199" i="10"/>
  <c r="S61" i="10"/>
  <c r="S292" i="10"/>
  <c r="S253" i="10"/>
  <c r="S368" i="10"/>
  <c r="S78" i="10"/>
  <c r="S67" i="10"/>
  <c r="S171" i="10"/>
  <c r="S315" i="10"/>
  <c r="S366" i="10"/>
  <c r="S226" i="10"/>
  <c r="S89" i="10"/>
  <c r="S233" i="10"/>
  <c r="S353" i="10"/>
  <c r="S346" i="10"/>
  <c r="S370" i="10"/>
  <c r="S278" i="10"/>
  <c r="S248" i="10"/>
  <c r="S132" i="10"/>
  <c r="S154" i="10"/>
  <c r="S181" i="10"/>
  <c r="S176" i="10"/>
  <c r="S347" i="10"/>
  <c r="S287" i="10"/>
  <c r="S276" i="10"/>
  <c r="S328" i="10"/>
  <c r="S19" i="10"/>
  <c r="S64" i="10"/>
  <c r="S245" i="10"/>
  <c r="S219" i="10"/>
  <c r="S294" i="10"/>
  <c r="S48" i="10"/>
  <c r="S186" i="10"/>
  <c r="S331" i="10"/>
  <c r="S344" i="10"/>
  <c r="S90" i="10"/>
  <c r="S211" i="10"/>
  <c r="S46" i="10"/>
  <c r="S237" i="10"/>
  <c r="S174" i="10"/>
  <c r="S116" i="10"/>
  <c r="S168" i="10"/>
  <c r="S303" i="10"/>
  <c r="S99" i="10"/>
  <c r="S268" i="10"/>
  <c r="S288" i="10"/>
  <c r="S20" i="10"/>
  <c r="S307" i="10"/>
  <c r="S324" i="10"/>
  <c r="S317" i="10"/>
  <c r="S178" i="10"/>
  <c r="S93" i="10"/>
  <c r="S285" i="10"/>
  <c r="S234" i="10"/>
  <c r="S249" i="10"/>
  <c r="S115" i="10"/>
  <c r="S187" i="10"/>
  <c r="S158" i="10"/>
  <c r="S75" i="10"/>
  <c r="S128" i="10"/>
  <c r="S271" i="10"/>
  <c r="S299" i="10"/>
  <c r="S133" i="10"/>
  <c r="S313" i="10"/>
  <c r="S141" i="10"/>
  <c r="S185" i="10"/>
  <c r="AS30" i="3"/>
  <c r="AT30" i="3" s="1"/>
  <c r="AR32" i="3"/>
  <c r="AR31" i="3"/>
  <c r="AS31" i="3" s="1"/>
  <c r="AT31" i="3" s="1"/>
  <c r="L24" i="3"/>
  <c r="M24" i="3"/>
  <c r="BH43" i="3" s="1"/>
  <c r="I25" i="3"/>
  <c r="J26" i="3"/>
  <c r="H58" i="4"/>
  <c r="AR33" i="3" l="1"/>
  <c r="AS33" i="3" s="1"/>
  <c r="AT33" i="3" s="1"/>
  <c r="AS32" i="3"/>
  <c r="AT32" i="3" s="1"/>
  <c r="AR34" i="3"/>
  <c r="J27" i="3"/>
  <c r="I26" i="3"/>
  <c r="L25" i="3"/>
  <c r="M25" i="3"/>
  <c r="BH44" i="3"/>
  <c r="BI43" i="3"/>
  <c r="AS34" i="3" l="1"/>
  <c r="AT34" i="3" s="1"/>
  <c r="AR35" i="3"/>
  <c r="AS35" i="3" s="1"/>
  <c r="AT35" i="3" s="1"/>
  <c r="AR36" i="3"/>
  <c r="L26" i="3"/>
  <c r="M26" i="3"/>
  <c r="I27" i="3"/>
  <c r="J28" i="3"/>
  <c r="AS36" i="3" l="1"/>
  <c r="AT36" i="3" s="1"/>
  <c r="AR38" i="3"/>
  <c r="AR37" i="3"/>
  <c r="AS37" i="3" s="1"/>
  <c r="AT37" i="3" s="1"/>
  <c r="L27" i="3"/>
  <c r="M27" i="3"/>
  <c r="I28" i="3"/>
  <c r="J29" i="3"/>
  <c r="AR39" i="3" l="1"/>
  <c r="AS39" i="3" s="1"/>
  <c r="AT39" i="3" s="1"/>
  <c r="AS38" i="3"/>
  <c r="AT38" i="3" s="1"/>
  <c r="AR40" i="3"/>
  <c r="J30" i="3"/>
  <c r="I29" i="3"/>
  <c r="L28" i="3"/>
  <c r="M28" i="3"/>
  <c r="AR42" i="3" l="1"/>
  <c r="AS40" i="3"/>
  <c r="AT40" i="3" s="1"/>
  <c r="AR41" i="3"/>
  <c r="AS41" i="3" s="1"/>
  <c r="AT41" i="3" s="1"/>
  <c r="L29" i="3"/>
  <c r="M29" i="3"/>
  <c r="J31" i="3"/>
  <c r="I30" i="3"/>
  <c r="AR43" i="3" l="1"/>
  <c r="AS43" i="3" s="1"/>
  <c r="AT43" i="3" s="1"/>
  <c r="AS42" i="3"/>
  <c r="AT42" i="3" s="1"/>
  <c r="AR44" i="3"/>
  <c r="L30" i="3"/>
  <c r="M30" i="3"/>
  <c r="I31" i="3"/>
  <c r="J32" i="3"/>
  <c r="AS44" i="3" l="1"/>
  <c r="AT44" i="3" s="1"/>
  <c r="AR46" i="3"/>
  <c r="AR45" i="3"/>
  <c r="AS45" i="3" s="1"/>
  <c r="AT45" i="3" s="1"/>
  <c r="J33" i="3"/>
  <c r="I32" i="3"/>
  <c r="L31" i="3"/>
  <c r="M31" i="3"/>
  <c r="AS46" i="3" l="1"/>
  <c r="AT46" i="3" s="1"/>
  <c r="AR47" i="3"/>
  <c r="AS47" i="3" s="1"/>
  <c r="AT47" i="3" s="1"/>
  <c r="AR48" i="3"/>
  <c r="L32" i="3"/>
  <c r="M32" i="3"/>
  <c r="J34" i="3"/>
  <c r="I33" i="3"/>
  <c r="AR50" i="3" l="1"/>
  <c r="AR49" i="3"/>
  <c r="AS49" i="3" s="1"/>
  <c r="AT49" i="3" s="1"/>
  <c r="AS48" i="3"/>
  <c r="AT48" i="3" s="1"/>
  <c r="L33" i="3"/>
  <c r="M33" i="3"/>
  <c r="I34" i="3"/>
  <c r="J35" i="3"/>
  <c r="AR52" i="3" l="1"/>
  <c r="AS50" i="3"/>
  <c r="AT50" i="3" s="1"/>
  <c r="AR51" i="3"/>
  <c r="AS51" i="3" s="1"/>
  <c r="AT51" i="3" s="1"/>
  <c r="L34" i="3"/>
  <c r="M34" i="3"/>
  <c r="J36" i="3"/>
  <c r="I35" i="3"/>
  <c r="AR54" i="3" l="1"/>
  <c r="AS52" i="3"/>
  <c r="AT52" i="3" s="1"/>
  <c r="AR53" i="3"/>
  <c r="AS53" i="3" s="1"/>
  <c r="AT53" i="3" s="1"/>
  <c r="L35" i="3"/>
  <c r="AC17" i="3" s="1"/>
  <c r="M35" i="3"/>
  <c r="I36" i="3"/>
  <c r="J37" i="3"/>
  <c r="AR55" i="3" l="1"/>
  <c r="AS55" i="3" s="1"/>
  <c r="AT55" i="3" s="1"/>
  <c r="AR56" i="3"/>
  <c r="AS54" i="3"/>
  <c r="AT54" i="3" s="1"/>
  <c r="I37" i="3"/>
  <c r="J38" i="3"/>
  <c r="L36" i="3"/>
  <c r="M36" i="3"/>
  <c r="AC5" i="3"/>
  <c r="AC7" i="3" s="1"/>
  <c r="AC6" i="3" l="1"/>
  <c r="AC8" i="3" s="1"/>
  <c r="BG5" i="3"/>
  <c r="BG6" i="3" s="1"/>
  <c r="AR58" i="3"/>
  <c r="AR57" i="3"/>
  <c r="AS57" i="3" s="1"/>
  <c r="AT57" i="3" s="1"/>
  <c r="AS56" i="3"/>
  <c r="AT56" i="3" s="1"/>
  <c r="AC21" i="3"/>
  <c r="AC19" i="3"/>
  <c r="F43" i="4" s="1"/>
  <c r="L37" i="3"/>
  <c r="M37" i="3"/>
  <c r="AC11" i="3"/>
  <c r="AC12" i="3"/>
  <c r="AC14" i="3" s="1"/>
  <c r="J39" i="3"/>
  <c r="I38" i="3"/>
  <c r="AC10" i="3" l="1"/>
  <c r="AC13" i="3"/>
  <c r="D114" i="6"/>
  <c r="D115" i="6" s="1"/>
  <c r="AC9" i="3"/>
  <c r="BK17" i="3" s="1"/>
  <c r="BK18" i="3" s="1"/>
  <c r="AR59" i="3"/>
  <c r="AS59" i="3" s="1"/>
  <c r="AT59" i="3" s="1"/>
  <c r="AR60" i="3"/>
  <c r="AS58" i="3"/>
  <c r="AT58" i="3" s="1"/>
  <c r="L38" i="3"/>
  <c r="M38" i="3"/>
  <c r="J40" i="3"/>
  <c r="I39" i="3"/>
  <c r="AR62" i="3" l="1"/>
  <c r="AR61" i="3"/>
  <c r="AS61" i="3" s="1"/>
  <c r="AT61" i="3" s="1"/>
  <c r="AS60" i="3"/>
  <c r="AT60" i="3" s="1"/>
  <c r="M39" i="3"/>
  <c r="L39" i="3"/>
  <c r="I40" i="3"/>
  <c r="J41" i="3"/>
  <c r="B54" i="7" l="1"/>
  <c r="C55" i="7" s="1"/>
  <c r="AR64" i="3"/>
  <c r="AR63" i="3"/>
  <c r="AS63" i="3" s="1"/>
  <c r="AT63" i="3" s="1"/>
  <c r="AS62" i="3"/>
  <c r="AT62" i="3" s="1"/>
  <c r="L40" i="3"/>
  <c r="M40" i="3"/>
  <c r="I41" i="3"/>
  <c r="J42" i="3"/>
  <c r="C56" i="7" l="1"/>
  <c r="C54" i="7"/>
  <c r="E53" i="6" s="1"/>
  <c r="AR65" i="3"/>
  <c r="AS65" i="3" s="1"/>
  <c r="AT65" i="3" s="1"/>
  <c r="AS64" i="3"/>
  <c r="AT64" i="3" s="1"/>
  <c r="AR66" i="3"/>
  <c r="I42" i="3"/>
  <c r="J43" i="3"/>
  <c r="M41" i="3"/>
  <c r="L41" i="3"/>
  <c r="AS66" i="3" l="1"/>
  <c r="AT66" i="3" s="1"/>
  <c r="AR67" i="3"/>
  <c r="AS67" i="3" s="1"/>
  <c r="AT67" i="3" s="1"/>
  <c r="I43" i="3"/>
  <c r="J44" i="3"/>
  <c r="M42" i="3"/>
  <c r="L42" i="3"/>
  <c r="J45" i="3" l="1"/>
  <c r="I44" i="3"/>
  <c r="M43" i="3"/>
  <c r="L43" i="3"/>
  <c r="AH4" i="3" s="1"/>
  <c r="M44" i="3" l="1"/>
  <c r="L44" i="3"/>
  <c r="J46" i="3"/>
  <c r="I45" i="3"/>
  <c r="J47" i="3" l="1"/>
  <c r="I46" i="3"/>
  <c r="M45" i="3"/>
  <c r="L45" i="3"/>
  <c r="L46" i="3" l="1"/>
  <c r="M46" i="3"/>
  <c r="I47" i="3"/>
  <c r="J48" i="3"/>
  <c r="L47" i="3" l="1"/>
  <c r="M47" i="3"/>
  <c r="I48" i="3"/>
  <c r="J49" i="3"/>
  <c r="L48" i="3" l="1"/>
  <c r="M48" i="3"/>
  <c r="J50" i="3"/>
  <c r="I49" i="3"/>
  <c r="J51" i="3" l="1"/>
  <c r="I50" i="3"/>
  <c r="L49" i="3"/>
  <c r="M49" i="3"/>
  <c r="L50" i="3" l="1"/>
  <c r="M50" i="3"/>
  <c r="I51" i="3"/>
  <c r="J52" i="3"/>
  <c r="J53" i="3" l="1"/>
  <c r="I52" i="3"/>
  <c r="L51" i="3"/>
  <c r="M51" i="3"/>
  <c r="L52" i="3" l="1"/>
  <c r="M52" i="3"/>
  <c r="I53" i="3"/>
  <c r="J54" i="3"/>
  <c r="L53" i="3" l="1"/>
  <c r="M53" i="3"/>
  <c r="J55" i="3"/>
  <c r="I54" i="3"/>
  <c r="I55" i="3" l="1"/>
  <c r="J56" i="3"/>
  <c r="L54" i="3"/>
  <c r="M54" i="3"/>
  <c r="I56" i="3" l="1"/>
  <c r="J57" i="3"/>
  <c r="L55" i="3"/>
  <c r="BG43" i="3" s="1"/>
  <c r="M55" i="3"/>
  <c r="J58" i="3" l="1"/>
  <c r="I57" i="3"/>
  <c r="L56" i="3"/>
  <c r="BI52" i="3" s="1"/>
  <c r="M56" i="3"/>
  <c r="AD5" i="3" l="1"/>
  <c r="AO4" i="3"/>
  <c r="AI4" i="3" s="1"/>
  <c r="AO66" i="3"/>
  <c r="AO20" i="3"/>
  <c r="AI20" i="3" s="1"/>
  <c r="AO46" i="3"/>
  <c r="AO44" i="3"/>
  <c r="AO12" i="3"/>
  <c r="AI12" i="3" s="1"/>
  <c r="AO52" i="3"/>
  <c r="AO6" i="3"/>
  <c r="AI6" i="3" s="1"/>
  <c r="AO56" i="3"/>
  <c r="AO60" i="3"/>
  <c r="AO40" i="3"/>
  <c r="AO18" i="3"/>
  <c r="AI18" i="3" s="1"/>
  <c r="AO26" i="3"/>
  <c r="AI26" i="3" s="1"/>
  <c r="F15" i="7"/>
  <c r="AO24" i="3"/>
  <c r="AI24" i="3" s="1"/>
  <c r="AO62" i="3"/>
  <c r="AO36" i="3"/>
  <c r="AI36" i="3" s="1"/>
  <c r="AO34" i="3"/>
  <c r="AI34" i="3" s="1"/>
  <c r="AO10" i="3"/>
  <c r="AI10" i="3" s="1"/>
  <c r="AO30" i="3"/>
  <c r="AI30" i="3" s="1"/>
  <c r="AO48" i="3"/>
  <c r="AO14" i="3"/>
  <c r="AI14" i="3" s="1"/>
  <c r="AO38" i="3"/>
  <c r="AO8" i="3"/>
  <c r="AI8" i="3" s="1"/>
  <c r="AO28" i="3"/>
  <c r="AI28" i="3" s="1"/>
  <c r="AO16" i="3"/>
  <c r="AI16" i="3" s="1"/>
  <c r="AO50" i="3"/>
  <c r="AO32" i="3"/>
  <c r="AI32" i="3" s="1"/>
  <c r="AO58" i="3"/>
  <c r="AO54" i="3"/>
  <c r="AO64" i="3"/>
  <c r="AO22" i="3"/>
  <c r="AI22" i="3" s="1"/>
  <c r="AO42" i="3"/>
  <c r="L57" i="3"/>
  <c r="M57" i="3"/>
  <c r="I62" i="12" s="1"/>
  <c r="I58" i="3"/>
  <c r="J59" i="3"/>
  <c r="BL17" i="3" l="1"/>
  <c r="AE5" i="3"/>
  <c r="AP50" i="3"/>
  <c r="AQ50" i="3" s="1"/>
  <c r="AK50" i="3" s="1"/>
  <c r="AL50" i="3" s="1"/>
  <c r="AM50" i="3" s="1"/>
  <c r="AI50" i="3"/>
  <c r="AO51" i="3"/>
  <c r="AP51" i="3" s="1"/>
  <c r="AQ51" i="3" s="1"/>
  <c r="AI38" i="3"/>
  <c r="AO39" i="3"/>
  <c r="AP39" i="3" s="1"/>
  <c r="AQ39" i="3" s="1"/>
  <c r="AP38" i="3"/>
  <c r="AQ38" i="3" s="1"/>
  <c r="AK38" i="3" s="1"/>
  <c r="AL38" i="3" s="1"/>
  <c r="AM38" i="3" s="1"/>
  <c r="AP6" i="3"/>
  <c r="AQ6" i="3" s="1"/>
  <c r="AK6" i="3" s="1"/>
  <c r="AL6" i="3" s="1"/>
  <c r="AM6" i="3" s="1"/>
  <c r="AO7" i="3"/>
  <c r="AP7" i="3" s="1"/>
  <c r="AQ7" i="3" s="1"/>
  <c r="I59" i="3"/>
  <c r="J60" i="3"/>
  <c r="AO17" i="3"/>
  <c r="AP17" i="3" s="1"/>
  <c r="AQ17" i="3" s="1"/>
  <c r="AP16" i="3"/>
  <c r="AQ16" i="3" s="1"/>
  <c r="AK16" i="3" s="1"/>
  <c r="AL16" i="3" s="1"/>
  <c r="AM16" i="3" s="1"/>
  <c r="AP34" i="3"/>
  <c r="AQ34" i="3" s="1"/>
  <c r="AK34" i="3" s="1"/>
  <c r="AL34" i="3" s="1"/>
  <c r="AM34" i="3" s="1"/>
  <c r="AO35" i="3"/>
  <c r="AP35" i="3" s="1"/>
  <c r="AQ35" i="3" s="1"/>
  <c r="AO25" i="3"/>
  <c r="AP25" i="3" s="1"/>
  <c r="AQ25" i="3" s="1"/>
  <c r="AP24" i="3"/>
  <c r="AQ24" i="3" s="1"/>
  <c r="AK24" i="3" s="1"/>
  <c r="AL24" i="3" s="1"/>
  <c r="AM24" i="3" s="1"/>
  <c r="AO41" i="3"/>
  <c r="AP41" i="3" s="1"/>
  <c r="AQ41" i="3" s="1"/>
  <c r="AP40" i="3"/>
  <c r="AQ40" i="3" s="1"/>
  <c r="AK40" i="3" s="1"/>
  <c r="AL40" i="3" s="1"/>
  <c r="AM40" i="3" s="1"/>
  <c r="AI40" i="3"/>
  <c r="AI52" i="3"/>
  <c r="AP52" i="3"/>
  <c r="AQ52" i="3" s="1"/>
  <c r="AK52" i="3" s="1"/>
  <c r="AL52" i="3" s="1"/>
  <c r="AM52" i="3" s="1"/>
  <c r="AO53" i="3"/>
  <c r="AP53" i="3" s="1"/>
  <c r="AQ53" i="3" s="1"/>
  <c r="AP20" i="3"/>
  <c r="AQ20" i="3" s="1"/>
  <c r="AK20" i="3" s="1"/>
  <c r="AL20" i="3" s="1"/>
  <c r="AM20" i="3" s="1"/>
  <c r="AO21" i="3"/>
  <c r="AP21" i="3" s="1"/>
  <c r="AQ21" i="3" s="1"/>
  <c r="AI64" i="3"/>
  <c r="AO65" i="3"/>
  <c r="AP65" i="3" s="1"/>
  <c r="AQ65" i="3" s="1"/>
  <c r="AP64" i="3"/>
  <c r="AQ64" i="3" s="1"/>
  <c r="AK64" i="3" s="1"/>
  <c r="AL64" i="3" s="1"/>
  <c r="AM64" i="3" s="1"/>
  <c r="AP32" i="3"/>
  <c r="AQ32" i="3" s="1"/>
  <c r="AK32" i="3" s="1"/>
  <c r="AL32" i="3" s="1"/>
  <c r="AM32" i="3" s="1"/>
  <c r="AO33" i="3"/>
  <c r="AP33" i="3" s="1"/>
  <c r="AQ33" i="3" s="1"/>
  <c r="AP8" i="3"/>
  <c r="AQ8" i="3" s="1"/>
  <c r="AK8" i="3" s="1"/>
  <c r="AL8" i="3" s="1"/>
  <c r="AM8" i="3" s="1"/>
  <c r="AO9" i="3"/>
  <c r="AP9" i="3" s="1"/>
  <c r="AQ9" i="3" s="1"/>
  <c r="AP30" i="3"/>
  <c r="AQ30" i="3" s="1"/>
  <c r="AK30" i="3" s="1"/>
  <c r="AL30" i="3" s="1"/>
  <c r="AM30" i="3" s="1"/>
  <c r="AO31" i="3"/>
  <c r="AP31" i="3" s="1"/>
  <c r="AQ31" i="3" s="1"/>
  <c r="AD6" i="3"/>
  <c r="AD7" i="3"/>
  <c r="AP26" i="3"/>
  <c r="AQ26" i="3" s="1"/>
  <c r="AK26" i="3" s="1"/>
  <c r="AL26" i="3" s="1"/>
  <c r="AM26" i="3" s="1"/>
  <c r="AO27" i="3"/>
  <c r="AP27" i="3" s="1"/>
  <c r="AQ27" i="3" s="1"/>
  <c r="AI56" i="3"/>
  <c r="AP56" i="3"/>
  <c r="AQ56" i="3" s="1"/>
  <c r="AK56" i="3" s="1"/>
  <c r="AL56" i="3" s="1"/>
  <c r="AM56" i="3" s="1"/>
  <c r="AO57" i="3"/>
  <c r="AP57" i="3" s="1"/>
  <c r="AQ57" i="3" s="1"/>
  <c r="AI44" i="3"/>
  <c r="AP44" i="3"/>
  <c r="AQ44" i="3" s="1"/>
  <c r="AK44" i="3" s="1"/>
  <c r="AL44" i="3" s="1"/>
  <c r="AM44" i="3" s="1"/>
  <c r="AO45" i="3"/>
  <c r="AP45" i="3" s="1"/>
  <c r="AQ45" i="3" s="1"/>
  <c r="AP4" i="3"/>
  <c r="AO5" i="3"/>
  <c r="AP5" i="3" s="1"/>
  <c r="AQ5" i="3" s="1"/>
  <c r="AO11" i="3"/>
  <c r="AP11" i="3" s="1"/>
  <c r="AQ11" i="3" s="1"/>
  <c r="AP10" i="3"/>
  <c r="AQ10" i="3" s="1"/>
  <c r="AK10" i="3" s="1"/>
  <c r="AL10" i="3" s="1"/>
  <c r="AM10" i="3" s="1"/>
  <c r="AP62" i="3"/>
  <c r="AQ62" i="3" s="1"/>
  <c r="AK62" i="3" s="1"/>
  <c r="AL62" i="3" s="1"/>
  <c r="AM62" i="3" s="1"/>
  <c r="AO63" i="3"/>
  <c r="AP63" i="3" s="1"/>
  <c r="AQ63" i="3" s="1"/>
  <c r="AI62" i="3"/>
  <c r="AO19" i="3"/>
  <c r="AP19" i="3" s="1"/>
  <c r="AQ19" i="3" s="1"/>
  <c r="AP18" i="3"/>
  <c r="AQ18" i="3" s="1"/>
  <c r="AK18" i="3" s="1"/>
  <c r="AL18" i="3" s="1"/>
  <c r="AM18" i="3" s="1"/>
  <c r="AO47" i="3"/>
  <c r="AP47" i="3" s="1"/>
  <c r="AQ47" i="3" s="1"/>
  <c r="AP46" i="3"/>
  <c r="AQ46" i="3" s="1"/>
  <c r="AK46" i="3" s="1"/>
  <c r="AL46" i="3" s="1"/>
  <c r="AM46" i="3" s="1"/>
  <c r="AI46" i="3"/>
  <c r="AP42" i="3"/>
  <c r="AQ42" i="3" s="1"/>
  <c r="AK42" i="3" s="1"/>
  <c r="AL42" i="3" s="1"/>
  <c r="AM42" i="3" s="1"/>
  <c r="AI42" i="3"/>
  <c r="AO43" i="3"/>
  <c r="AP43" i="3" s="1"/>
  <c r="AQ43" i="3" s="1"/>
  <c r="AP54" i="3"/>
  <c r="AQ54" i="3" s="1"/>
  <c r="AK54" i="3" s="1"/>
  <c r="AL54" i="3" s="1"/>
  <c r="AM54" i="3" s="1"/>
  <c r="AI54" i="3"/>
  <c r="AO55" i="3"/>
  <c r="AP55" i="3" s="1"/>
  <c r="AQ55" i="3" s="1"/>
  <c r="AP14" i="3"/>
  <c r="AQ14" i="3" s="1"/>
  <c r="AK14" i="3" s="1"/>
  <c r="AL14" i="3" s="1"/>
  <c r="AM14" i="3" s="1"/>
  <c r="AO15" i="3"/>
  <c r="AP15" i="3" s="1"/>
  <c r="AQ15" i="3" s="1"/>
  <c r="L58" i="3"/>
  <c r="M58" i="3"/>
  <c r="AP22" i="3"/>
  <c r="AQ22" i="3" s="1"/>
  <c r="AK22" i="3" s="1"/>
  <c r="AL22" i="3" s="1"/>
  <c r="AM22" i="3" s="1"/>
  <c r="AO23" i="3"/>
  <c r="AP23" i="3" s="1"/>
  <c r="AQ23" i="3" s="1"/>
  <c r="AP58" i="3"/>
  <c r="AQ58" i="3" s="1"/>
  <c r="AK58" i="3" s="1"/>
  <c r="AL58" i="3" s="1"/>
  <c r="AM58" i="3" s="1"/>
  <c r="AO59" i="3"/>
  <c r="AP59" i="3" s="1"/>
  <c r="AQ59" i="3" s="1"/>
  <c r="AI58" i="3"/>
  <c r="AO29" i="3"/>
  <c r="AP29" i="3" s="1"/>
  <c r="AQ29" i="3" s="1"/>
  <c r="AP28" i="3"/>
  <c r="AQ28" i="3" s="1"/>
  <c r="AK28" i="3" s="1"/>
  <c r="AL28" i="3" s="1"/>
  <c r="AM28" i="3" s="1"/>
  <c r="AP48" i="3"/>
  <c r="AQ48" i="3" s="1"/>
  <c r="AK48" i="3" s="1"/>
  <c r="AL48" i="3" s="1"/>
  <c r="AM48" i="3" s="1"/>
  <c r="AI48" i="3"/>
  <c r="AO49" i="3"/>
  <c r="AP49" i="3" s="1"/>
  <c r="AQ49" i="3" s="1"/>
  <c r="AP36" i="3"/>
  <c r="AQ36" i="3" s="1"/>
  <c r="AK36" i="3" s="1"/>
  <c r="AL36" i="3" s="1"/>
  <c r="AM36" i="3" s="1"/>
  <c r="AO37" i="3"/>
  <c r="AP37" i="3" s="1"/>
  <c r="AQ37" i="3" s="1"/>
  <c r="F28" i="7"/>
  <c r="F24" i="7"/>
  <c r="F23" i="7"/>
  <c r="F27" i="7"/>
  <c r="F26" i="7"/>
  <c r="F22" i="7"/>
  <c r="F25" i="7"/>
  <c r="F20" i="7"/>
  <c r="AO61" i="3"/>
  <c r="AP61" i="3" s="1"/>
  <c r="AQ61" i="3" s="1"/>
  <c r="AI60" i="3"/>
  <c r="AP60" i="3"/>
  <c r="AQ60" i="3" s="1"/>
  <c r="AK60" i="3" s="1"/>
  <c r="AL60" i="3" s="1"/>
  <c r="AM60" i="3" s="1"/>
  <c r="AO13" i="3"/>
  <c r="AP13" i="3" s="1"/>
  <c r="AQ13" i="3" s="1"/>
  <c r="AP12" i="3"/>
  <c r="AQ12" i="3" s="1"/>
  <c r="AK12" i="3" s="1"/>
  <c r="AL12" i="3" s="1"/>
  <c r="AM12" i="3" s="1"/>
  <c r="AO67" i="3"/>
  <c r="AP67" i="3" s="1"/>
  <c r="AQ67" i="3" s="1"/>
  <c r="AI66" i="3"/>
  <c r="AP66" i="3"/>
  <c r="AQ66" i="3" s="1"/>
  <c r="AK66" i="3" s="1"/>
  <c r="AL66" i="3" s="1"/>
  <c r="AM66" i="3" s="1"/>
  <c r="BJ17" i="3" l="1"/>
  <c r="E14" i="6"/>
  <c r="G12" i="6" s="1"/>
  <c r="AQ4" i="3"/>
  <c r="AK4" i="3" s="1"/>
  <c r="AL4" i="3" s="1"/>
  <c r="AM4" i="3" s="1"/>
  <c r="L42" i="7"/>
  <c r="M42" i="7" s="1"/>
  <c r="P42" i="7" s="1"/>
  <c r="Q42" i="7" s="1"/>
  <c r="S42" i="7" s="1"/>
  <c r="U42" i="7" s="1"/>
  <c r="L53" i="7"/>
  <c r="M53" i="7" s="1"/>
  <c r="P53" i="7" s="1"/>
  <c r="Q53" i="7" s="1"/>
  <c r="S53" i="7" s="1"/>
  <c r="U53" i="7" s="1"/>
  <c r="L51" i="7"/>
  <c r="M51" i="7" s="1"/>
  <c r="P51" i="7" s="1"/>
  <c r="Q51" i="7" s="1"/>
  <c r="S51" i="7" s="1"/>
  <c r="U51" i="7" s="1"/>
  <c r="L39" i="7"/>
  <c r="M39" i="7" s="1"/>
  <c r="P39" i="7" s="1"/>
  <c r="Q39" i="7" s="1"/>
  <c r="S39" i="7" s="1"/>
  <c r="U39" i="7" s="1"/>
  <c r="L47" i="7"/>
  <c r="M47" i="7" s="1"/>
  <c r="P47" i="7" s="1"/>
  <c r="L46" i="7"/>
  <c r="M46" i="7" s="1"/>
  <c r="P46" i="7" s="1"/>
  <c r="Q46" i="7" s="1"/>
  <c r="S46" i="7" s="1"/>
  <c r="U46" i="7" s="1"/>
  <c r="L49" i="7"/>
  <c r="M49" i="7" s="1"/>
  <c r="P49" i="7" s="1"/>
  <c r="Q49" i="7" s="1"/>
  <c r="L45" i="7"/>
  <c r="M45" i="7" s="1"/>
  <c r="P45" i="7" s="1"/>
  <c r="L48" i="7"/>
  <c r="M48" i="7" s="1"/>
  <c r="P48" i="7" s="1"/>
  <c r="Q48" i="7" s="1"/>
  <c r="S48" i="7" s="1"/>
  <c r="BL18" i="3"/>
  <c r="B6" i="8"/>
  <c r="C6" i="8" s="1"/>
  <c r="AX26" i="3"/>
  <c r="AX36" i="3"/>
  <c r="AX42" i="3"/>
  <c r="AX30" i="3"/>
  <c r="AX20" i="3"/>
  <c r="AX46" i="3"/>
  <c r="L60" i="7"/>
  <c r="M60" i="7" s="1"/>
  <c r="P60" i="7" s="1"/>
  <c r="Q60" i="7" s="1"/>
  <c r="S60" i="7" s="1"/>
  <c r="U60" i="7" s="1"/>
  <c r="L61" i="7"/>
  <c r="M61" i="7" s="1"/>
  <c r="P61" i="7" s="1"/>
  <c r="Q61" i="7" s="1"/>
  <c r="S61" i="7" s="1"/>
  <c r="U61" i="7" s="1"/>
  <c r="L58" i="7"/>
  <c r="M58" i="7" s="1"/>
  <c r="P58" i="7" s="1"/>
  <c r="Q58" i="7" s="1"/>
  <c r="S58" i="7" s="1"/>
  <c r="U58" i="7" s="1"/>
  <c r="L56" i="7"/>
  <c r="M56" i="7" s="1"/>
  <c r="P56" i="7" s="1"/>
  <c r="Q56" i="7" s="1"/>
  <c r="S56" i="7" s="1"/>
  <c r="U56" i="7" s="1"/>
  <c r="L57" i="7"/>
  <c r="M57" i="7" s="1"/>
  <c r="P57" i="7" s="1"/>
  <c r="Q57" i="7" s="1"/>
  <c r="S57" i="7" s="1"/>
  <c r="U57" i="7" s="1"/>
  <c r="AX24" i="3"/>
  <c r="AX22" i="3"/>
  <c r="AX38" i="3"/>
  <c r="L59" i="3"/>
  <c r="M59" i="3"/>
  <c r="BF76" i="3" s="1"/>
  <c r="BH76" i="3" s="1"/>
  <c r="X5" i="3"/>
  <c r="X23" i="3" s="1"/>
  <c r="BE69" i="3"/>
  <c r="AY16" i="3"/>
  <c r="BC69" i="3"/>
  <c r="BH4" i="3"/>
  <c r="BH5" i="3" s="1"/>
  <c r="N58" i="3"/>
  <c r="AX18" i="3"/>
  <c r="AX16" i="3"/>
  <c r="AX40" i="3"/>
  <c r="AD10" i="3"/>
  <c r="AD8" i="3"/>
  <c r="K14" i="6" s="1"/>
  <c r="AD12" i="3"/>
  <c r="AX32" i="3"/>
  <c r="AX34" i="3"/>
  <c r="L22" i="7"/>
  <c r="M22" i="7" s="1"/>
  <c r="P22" i="7" s="1"/>
  <c r="Q22" i="7" s="1"/>
  <c r="S22" i="7" s="1"/>
  <c r="U22" i="7" s="1"/>
  <c r="L23" i="7"/>
  <c r="M23" i="7" s="1"/>
  <c r="P23" i="7" s="1"/>
  <c r="Q23" i="7" s="1"/>
  <c r="S23" i="7" s="1"/>
  <c r="U23" i="7" s="1"/>
  <c r="L27" i="7"/>
  <c r="M27" i="7" s="1"/>
  <c r="P27" i="7" s="1"/>
  <c r="Q27" i="7" s="1"/>
  <c r="S27" i="7" s="1"/>
  <c r="U27" i="7" s="1"/>
  <c r="L21" i="7"/>
  <c r="M21" i="7" s="1"/>
  <c r="P21" i="7" s="1"/>
  <c r="Q21" i="7" s="1"/>
  <c r="S21" i="7" s="1"/>
  <c r="U21" i="7" s="1"/>
  <c r="L26" i="7"/>
  <c r="M26" i="7" s="1"/>
  <c r="P26" i="7" s="1"/>
  <c r="Q26" i="7" s="1"/>
  <c r="S26" i="7" s="1"/>
  <c r="U26" i="7" s="1"/>
  <c r="L24" i="7"/>
  <c r="M24" i="7" s="1"/>
  <c r="P24" i="7" s="1"/>
  <c r="Q24" i="7" s="1"/>
  <c r="S24" i="7" s="1"/>
  <c r="U24" i="7" s="1"/>
  <c r="L25" i="7"/>
  <c r="M25" i="7" s="1"/>
  <c r="P25" i="7" s="1"/>
  <c r="Q25" i="7" s="1"/>
  <c r="S25" i="7" s="1"/>
  <c r="U25" i="7" s="1"/>
  <c r="L63" i="7"/>
  <c r="M63" i="7" s="1"/>
  <c r="P63" i="7" s="1"/>
  <c r="Q63" i="7" s="1"/>
  <c r="S63" i="7" s="1"/>
  <c r="U63" i="7" s="1"/>
  <c r="J61" i="3"/>
  <c r="I60" i="3"/>
  <c r="AX28" i="3"/>
  <c r="L41" i="7"/>
  <c r="M41" i="7" s="1"/>
  <c r="P41" i="7" s="1"/>
  <c r="Q41" i="7" s="1"/>
  <c r="S41" i="7" s="1"/>
  <c r="U41" i="7" s="1"/>
  <c r="L43" i="7"/>
  <c r="M43" i="7" s="1"/>
  <c r="P43" i="7" s="1"/>
  <c r="Q43" i="7" s="1"/>
  <c r="S43" i="7" s="1"/>
  <c r="U43" i="7" s="1"/>
  <c r="L38" i="7"/>
  <c r="M38" i="7" s="1"/>
  <c r="P38" i="7" s="1"/>
  <c r="Q38" i="7" s="1"/>
  <c r="S38" i="7" s="1"/>
  <c r="U38" i="7" s="1"/>
  <c r="L40" i="7"/>
  <c r="M40" i="7" s="1"/>
  <c r="P40" i="7" s="1"/>
  <c r="Q40" i="7" s="1"/>
  <c r="S40" i="7" s="1"/>
  <c r="U40" i="7" s="1"/>
  <c r="L54" i="7"/>
  <c r="M54" i="7" s="1"/>
  <c r="P54" i="7" s="1"/>
  <c r="Q54" i="7" s="1"/>
  <c r="S54" i="7" s="1"/>
  <c r="U54" i="7" s="1"/>
  <c r="L52" i="7"/>
  <c r="M52" i="7" s="1"/>
  <c r="P52" i="7" s="1"/>
  <c r="AX44" i="3"/>
  <c r="AX48" i="3"/>
  <c r="S49" i="7" l="1"/>
  <c r="U49" i="7" s="1"/>
  <c r="BE76" i="3"/>
  <c r="BE77" i="3"/>
  <c r="Q45" i="7"/>
  <c r="S45" i="7" s="1"/>
  <c r="U45" i="7" s="1"/>
  <c r="Q47" i="7"/>
  <c r="S47" i="7" s="1"/>
  <c r="U47" i="7" s="1"/>
  <c r="Q52" i="7"/>
  <c r="S52" i="7" s="1"/>
  <c r="U52" i="7" s="1"/>
  <c r="U48" i="7"/>
  <c r="D6" i="8"/>
  <c r="AX54" i="3"/>
  <c r="AX55" i="3" s="1"/>
  <c r="J62" i="3"/>
  <c r="I61" i="3"/>
  <c r="BL4" i="3"/>
  <c r="BJ19" i="3" s="1"/>
  <c r="BJ21" i="3" s="1"/>
  <c r="BJ20" i="3" s="1"/>
  <c r="I58" i="4"/>
  <c r="G21" i="3"/>
  <c r="B52" i="8"/>
  <c r="D52" i="8" s="1"/>
  <c r="BE71" i="3"/>
  <c r="BE70" i="3"/>
  <c r="BD70" i="3" s="1"/>
  <c r="BD69" i="3"/>
  <c r="BD71" i="3" s="1"/>
  <c r="BE72" i="3"/>
  <c r="BD72" i="3" s="1"/>
  <c r="L60" i="3"/>
  <c r="M60" i="3"/>
  <c r="AD9" i="3"/>
  <c r="AD11" i="3" s="1"/>
  <c r="AD13" i="3" s="1"/>
  <c r="F19" i="7"/>
  <c r="AZ52" i="3"/>
  <c r="AZ38" i="3"/>
  <c r="AZ28" i="3"/>
  <c r="AZ46" i="3"/>
  <c r="AZ48" i="3"/>
  <c r="AZ24" i="3"/>
  <c r="AZ36" i="3"/>
  <c r="AZ44" i="3"/>
  <c r="AZ34" i="3"/>
  <c r="AZ18" i="3"/>
  <c r="AZ42" i="3"/>
  <c r="AZ16" i="3"/>
  <c r="AZ32" i="3"/>
  <c r="AZ30" i="3"/>
  <c r="AZ20" i="3"/>
  <c r="AZ50" i="3"/>
  <c r="AZ40" i="3"/>
  <c r="AZ22" i="3"/>
  <c r="AZ26" i="3"/>
  <c r="X6" i="3"/>
  <c r="X16" i="3"/>
  <c r="X17" i="3" s="1"/>
  <c r="X18" i="3" s="1"/>
  <c r="F21" i="7"/>
  <c r="L33" i="7" s="1"/>
  <c r="X20" i="3"/>
  <c r="X24" i="3"/>
  <c r="W5" i="3"/>
  <c r="W10" i="3" s="1"/>
  <c r="W11" i="3" s="1"/>
  <c r="W12" i="3" s="1"/>
  <c r="W13" i="3" s="1"/>
  <c r="BI17" i="3" l="1"/>
  <c r="H55" i="4"/>
  <c r="I56" i="4" s="1"/>
  <c r="L7" i="6"/>
  <c r="AY59" i="3"/>
  <c r="AY60" i="3"/>
  <c r="AZ54" i="3"/>
  <c r="AZ55" i="3" s="1"/>
  <c r="F29" i="7"/>
  <c r="L19" i="7"/>
  <c r="M19" i="7" s="1"/>
  <c r="P19" i="7" s="1"/>
  <c r="Q19" i="7" s="1"/>
  <c r="S19" i="7" s="1"/>
  <c r="U19" i="7" s="1"/>
  <c r="L65" i="7"/>
  <c r="M65" i="7" s="1"/>
  <c r="P65" i="7" s="1"/>
  <c r="Q65" i="7" s="1"/>
  <c r="S65" i="7" s="1"/>
  <c r="U65" i="7" s="1"/>
  <c r="L61" i="3"/>
  <c r="M61" i="3"/>
  <c r="AD14" i="3"/>
  <c r="I61" i="12" s="1"/>
  <c r="J23" i="4"/>
  <c r="J63" i="3"/>
  <c r="I62" i="3"/>
  <c r="L30" i="7"/>
  <c r="M30" i="7" s="1"/>
  <c r="P30" i="7" s="1"/>
  <c r="Q30" i="7" s="1"/>
  <c r="S30" i="7" s="1"/>
  <c r="U30" i="7" s="1"/>
  <c r="L32" i="7"/>
  <c r="M32" i="7" s="1"/>
  <c r="P32" i="7" s="1"/>
  <c r="Q32" i="7" s="1"/>
  <c r="S32" i="7" s="1"/>
  <c r="U32" i="7" s="1"/>
  <c r="L34" i="7"/>
  <c r="M34" i="7" s="1"/>
  <c r="P34" i="7" s="1"/>
  <c r="Q34" i="7" s="1"/>
  <c r="S34" i="7" s="1"/>
  <c r="U34" i="7" s="1"/>
  <c r="M33" i="7"/>
  <c r="P33" i="7" s="1"/>
  <c r="Q33" i="7" s="1"/>
  <c r="S33" i="7" s="1"/>
  <c r="U33" i="7" s="1"/>
  <c r="L35" i="7"/>
  <c r="M35" i="7" s="1"/>
  <c r="P35" i="7" s="1"/>
  <c r="Q35" i="7" s="1"/>
  <c r="S35" i="7" s="1"/>
  <c r="U35" i="7" s="1"/>
  <c r="L36" i="7"/>
  <c r="M36" i="7" s="1"/>
  <c r="P36" i="7" s="1"/>
  <c r="Q36" i="7" s="1"/>
  <c r="S36" i="7" s="1"/>
  <c r="U36" i="7" s="1"/>
  <c r="L31" i="7"/>
  <c r="M31" i="7" s="1"/>
  <c r="P31" i="7" s="1"/>
  <c r="Q31" i="7" s="1"/>
  <c r="L20" i="7"/>
  <c r="M20" i="7" s="1"/>
  <c r="P20" i="7" s="1"/>
  <c r="Q20" i="7" s="1"/>
  <c r="S20" i="7" s="1"/>
  <c r="U20" i="7" s="1"/>
  <c r="W18" i="3"/>
  <c r="W19" i="3" s="1"/>
  <c r="W20" i="3" s="1"/>
  <c r="W14" i="3"/>
  <c r="W15" i="3" s="1"/>
  <c r="X19" i="3"/>
  <c r="X22" i="3"/>
  <c r="BJ11" i="3"/>
  <c r="BJ10" i="3" s="1"/>
  <c r="BL5" i="3"/>
  <c r="Y6" i="3"/>
  <c r="BL7" i="3" s="1"/>
  <c r="X7" i="3"/>
  <c r="X8" i="3" s="1"/>
  <c r="X9" i="3" s="1"/>
  <c r="X10" i="3" s="1"/>
  <c r="X11" i="3" s="1"/>
  <c r="X12" i="3" s="1"/>
  <c r="J62" i="12" l="1"/>
  <c r="S31" i="7"/>
  <c r="U31" i="7" s="1"/>
  <c r="BL8" i="3"/>
  <c r="BJ8" i="3"/>
  <c r="BJ7" i="3" s="1"/>
  <c r="K56" i="4"/>
  <c r="I55" i="4"/>
  <c r="H53" i="4" s="1"/>
  <c r="AY61" i="3"/>
  <c r="AY63" i="3"/>
  <c r="AY62" i="3"/>
  <c r="I63" i="3"/>
  <c r="J64" i="3"/>
  <c r="X13" i="3"/>
  <c r="X14" i="3" s="1"/>
  <c r="X15" i="3" s="1"/>
  <c r="X21" i="3"/>
  <c r="W21" i="3"/>
  <c r="W22" i="3" s="1"/>
  <c r="W23" i="3" s="1"/>
  <c r="W16" i="3"/>
  <c r="W17" i="3" s="1"/>
  <c r="K37" i="4"/>
  <c r="J37" i="4"/>
  <c r="L37" i="4"/>
  <c r="T19" i="7"/>
  <c r="L62" i="3"/>
  <c r="M62" i="3"/>
  <c r="L67" i="7"/>
  <c r="M67" i="7" s="1"/>
  <c r="P67" i="7" s="1"/>
  <c r="Q67" i="7" s="1"/>
  <c r="S67" i="7" s="1"/>
  <c r="U67" i="7" s="1"/>
  <c r="L68" i="7"/>
  <c r="M68" i="7" s="1"/>
  <c r="P68" i="7" s="1"/>
  <c r="Q68" i="7" s="1"/>
  <c r="S68" i="7" s="1"/>
  <c r="U68" i="7" s="1"/>
  <c r="AY66" i="3" l="1"/>
  <c r="BG41" i="3" s="1"/>
  <c r="BG42" i="3" s="1"/>
  <c r="BH45" i="3" s="1"/>
  <c r="J38" i="4"/>
  <c r="J39" i="4"/>
  <c r="J65" i="3"/>
  <c r="I64" i="3"/>
  <c r="N40" i="4"/>
  <c r="N41" i="4"/>
  <c r="K39" i="4"/>
  <c r="K38" i="4"/>
  <c r="T20" i="7"/>
  <c r="T21" i="7" s="1"/>
  <c r="L39" i="4"/>
  <c r="L38" i="4"/>
  <c r="L63" i="3"/>
  <c r="M63" i="3"/>
  <c r="N42" i="4" l="1"/>
  <c r="H60" i="4" s="1"/>
  <c r="BH46" i="3"/>
  <c r="BG45" i="3"/>
  <c r="BG46" i="3"/>
  <c r="BG39" i="3"/>
  <c r="E180" i="1"/>
  <c r="T22" i="7"/>
  <c r="J42" i="4"/>
  <c r="J43" i="4"/>
  <c r="G36" i="4"/>
  <c r="K43" i="4"/>
  <c r="K42" i="4"/>
  <c r="E47" i="4"/>
  <c r="I42" i="4"/>
  <c r="E48" i="4"/>
  <c r="I43" i="4"/>
  <c r="H43" i="4"/>
  <c r="H42" i="4"/>
  <c r="G35" i="4"/>
  <c r="J66" i="3"/>
  <c r="I65" i="3"/>
  <c r="E46" i="4"/>
  <c r="G37" i="4"/>
  <c r="L42" i="4"/>
  <c r="L43" i="4"/>
  <c r="M42" i="4"/>
  <c r="M43" i="4"/>
  <c r="L64" i="3"/>
  <c r="M64" i="3"/>
  <c r="I4" i="6" l="1"/>
  <c r="B2" i="8" s="1"/>
  <c r="T23" i="7"/>
  <c r="T24" i="7" s="1"/>
  <c r="H51" i="4"/>
  <c r="H59" i="4" s="1"/>
  <c r="L61" i="4" s="1"/>
  <c r="D180" i="1"/>
  <c r="D46" i="4"/>
  <c r="C190" i="1"/>
  <c r="L65" i="3"/>
  <c r="M65" i="3"/>
  <c r="I66" i="3"/>
  <c r="J67" i="3"/>
  <c r="G39" i="4"/>
  <c r="C192" i="1"/>
  <c r="D48" i="4"/>
  <c r="C48" i="4" s="1"/>
  <c r="B49" i="7" s="1"/>
  <c r="A49" i="7" s="1"/>
  <c r="C191" i="1"/>
  <c r="D47" i="4"/>
  <c r="D2" i="8" l="1"/>
  <c r="C2" i="8"/>
  <c r="C46" i="4"/>
  <c r="B47" i="7" s="1"/>
  <c r="A47" i="7" s="1"/>
  <c r="C47" i="4"/>
  <c r="B48" i="7" s="1"/>
  <c r="A48" i="7" s="1"/>
  <c r="J6" i="6"/>
  <c r="M61" i="4"/>
  <c r="N61" i="4"/>
  <c r="F6" i="6" s="1"/>
  <c r="D6" i="6"/>
  <c r="T25" i="7"/>
  <c r="T26" i="7" s="1"/>
  <c r="T27" i="7" s="1"/>
  <c r="F38" i="4"/>
  <c r="F40" i="4"/>
  <c r="L66" i="3"/>
  <c r="M66" i="3"/>
  <c r="J68" i="3"/>
  <c r="I67" i="3"/>
  <c r="A50" i="7" l="1"/>
  <c r="B4" i="8" s="1"/>
  <c r="D4" i="8" s="1"/>
  <c r="E2" i="8" s="1"/>
  <c r="E40" i="4"/>
  <c r="J69" i="3"/>
  <c r="I68" i="3"/>
  <c r="L67" i="3"/>
  <c r="M67" i="3"/>
  <c r="T28" i="7"/>
  <c r="D7" i="6"/>
  <c r="F7" i="6" s="1"/>
  <c r="C4" i="8" l="1"/>
  <c r="L68" i="3"/>
  <c r="M68" i="3"/>
  <c r="J70" i="3"/>
  <c r="I69" i="3"/>
  <c r="T29" i="7"/>
  <c r="I5" i="8"/>
  <c r="I8" i="8"/>
  <c r="G8" i="8" s="1"/>
  <c r="H2" i="8"/>
  <c r="H3" i="8" s="1"/>
  <c r="H4" i="8" s="1"/>
  <c r="H6" i="8" s="1"/>
  <c r="H7" i="8" s="1"/>
  <c r="H9" i="8" s="1"/>
  <c r="H10" i="8" s="1"/>
  <c r="H11" i="8" s="1"/>
  <c r="H13" i="8" s="1"/>
  <c r="H14" i="8" s="1"/>
  <c r="H15" i="8" s="1"/>
  <c r="H18" i="8" s="1"/>
  <c r="H19" i="8" s="1"/>
  <c r="H20" i="8" s="1"/>
  <c r="H23" i="8" s="1"/>
  <c r="H24" i="8" s="1"/>
  <c r="H25" i="8" s="1"/>
  <c r="H28" i="8" s="1"/>
  <c r="H29" i="8" s="1"/>
  <c r="H30" i="8" s="1"/>
  <c r="H33" i="8" s="1"/>
  <c r="H34" i="8" s="1"/>
  <c r="H35" i="8" s="1"/>
  <c r="H38" i="8" s="1"/>
  <c r="H39" i="8" s="1"/>
  <c r="H40" i="8" s="1"/>
  <c r="H43" i="8" s="1"/>
  <c r="H44" i="8" s="1"/>
  <c r="H45" i="8" s="1"/>
  <c r="H48" i="8" s="1"/>
  <c r="H49" i="8" s="1"/>
  <c r="H50" i="8" s="1"/>
  <c r="H52" i="8" s="1"/>
  <c r="H53" i="8" s="1"/>
  <c r="H54" i="8" s="1"/>
  <c r="H55" i="8" s="1"/>
  <c r="I55" i="8" s="1"/>
  <c r="G55" i="8" s="1"/>
  <c r="I16" i="8"/>
  <c r="G16" i="8" s="1"/>
  <c r="I12" i="8"/>
  <c r="G12" i="8" s="1"/>
  <c r="D60" i="6"/>
  <c r="G2" i="8"/>
  <c r="I45" i="8" l="1"/>
  <c r="G45" i="8" s="1"/>
  <c r="I24" i="8"/>
  <c r="G24" i="8" s="1"/>
  <c r="I3" i="8"/>
  <c r="G3" i="8" s="1"/>
  <c r="I13" i="8"/>
  <c r="G13" i="8" s="1"/>
  <c r="I28" i="8"/>
  <c r="G28" i="8" s="1"/>
  <c r="I9" i="8"/>
  <c r="G9" i="8" s="1"/>
  <c r="I20" i="8"/>
  <c r="G20" i="8" s="1"/>
  <c r="I40" i="8"/>
  <c r="G40" i="8" s="1"/>
  <c r="I19" i="8"/>
  <c r="G19" i="8" s="1"/>
  <c r="I25" i="8"/>
  <c r="G25" i="8" s="1"/>
  <c r="I29" i="8"/>
  <c r="G29" i="8" s="1"/>
  <c r="I34" i="8"/>
  <c r="G34" i="8" s="1"/>
  <c r="I18" i="8"/>
  <c r="G18" i="8" s="1"/>
  <c r="I38" i="8"/>
  <c r="G38" i="8" s="1"/>
  <c r="I43" i="8"/>
  <c r="G43" i="8" s="1"/>
  <c r="I15" i="8"/>
  <c r="G15" i="8" s="1"/>
  <c r="I6" i="8"/>
  <c r="G6" i="8" s="1"/>
  <c r="I11" i="8"/>
  <c r="G11" i="8" s="1"/>
  <c r="I49" i="8"/>
  <c r="G49" i="8" s="1"/>
  <c r="I33" i="8"/>
  <c r="G33" i="8" s="1"/>
  <c r="I23" i="8"/>
  <c r="G23" i="8" s="1"/>
  <c r="I30" i="8"/>
  <c r="G30" i="8" s="1"/>
  <c r="I14" i="8"/>
  <c r="G14" i="8" s="1"/>
  <c r="I50" i="8"/>
  <c r="G50" i="8" s="1"/>
  <c r="I53" i="8"/>
  <c r="G53" i="8" s="1"/>
  <c r="I44" i="8"/>
  <c r="G44" i="8" s="1"/>
  <c r="I35" i="8"/>
  <c r="G35" i="8" s="1"/>
  <c r="I39" i="8"/>
  <c r="G39" i="8" s="1"/>
  <c r="I4" i="8"/>
  <c r="G4" i="8" s="1"/>
  <c r="I10" i="8"/>
  <c r="G10" i="8" s="1"/>
  <c r="I54" i="8"/>
  <c r="G54" i="8" s="1"/>
  <c r="I7" i="8"/>
  <c r="G7" i="8" s="1"/>
  <c r="I52" i="8"/>
  <c r="G52" i="8" s="1"/>
  <c r="I48" i="8"/>
  <c r="G48" i="8" s="1"/>
  <c r="T30" i="7"/>
  <c r="T31" i="7" s="1"/>
  <c r="T32" i="7" s="1"/>
  <c r="T33" i="7" s="1"/>
  <c r="T34" i="7" s="1"/>
  <c r="T35" i="7" s="1"/>
  <c r="T36" i="7" s="1"/>
  <c r="T37" i="7" s="1"/>
  <c r="T38" i="7" s="1"/>
  <c r="T39" i="7" s="1"/>
  <c r="T40" i="7" s="1"/>
  <c r="T41" i="7" s="1"/>
  <c r="T42" i="7" s="1"/>
  <c r="T43" i="7" s="1"/>
  <c r="T44" i="7" s="1"/>
  <c r="T45" i="7" s="1"/>
  <c r="T46" i="7" s="1"/>
  <c r="T47" i="7" s="1"/>
  <c r="L69" i="3"/>
  <c r="M69" i="3"/>
  <c r="J71" i="3"/>
  <c r="I70" i="3"/>
  <c r="T48" i="7" l="1"/>
  <c r="T49" i="7" s="1"/>
  <c r="M70" i="3"/>
  <c r="L70" i="3"/>
  <c r="J72" i="3"/>
  <c r="I71" i="3"/>
  <c r="BK4" i="3"/>
  <c r="AH5" i="3"/>
  <c r="T50" i="7" l="1"/>
  <c r="T51" i="7" s="1"/>
  <c r="T52" i="7" s="1"/>
  <c r="T53" i="7" s="1"/>
  <c r="T54" i="7" s="1"/>
  <c r="T55" i="7" s="1"/>
  <c r="T56" i="7" s="1"/>
  <c r="T57" i="7" s="1"/>
  <c r="T58" i="7" s="1"/>
  <c r="T59" i="7" s="1"/>
  <c r="T60" i="7" s="1"/>
  <c r="T61" i="7" s="1"/>
  <c r="T62" i="7" s="1"/>
  <c r="T63" i="7" s="1"/>
  <c r="T64" i="7" s="1"/>
  <c r="T65" i="7" s="1"/>
  <c r="T66" i="7" s="1"/>
  <c r="T67" i="7" s="1"/>
  <c r="T68" i="7" s="1"/>
  <c r="W65" i="7" s="1"/>
  <c r="L71" i="3"/>
  <c r="M71" i="3"/>
  <c r="BK10" i="3"/>
  <c r="BK7" i="3"/>
  <c r="BK5" i="3"/>
  <c r="I72" i="3"/>
  <c r="J73" i="3"/>
  <c r="W48" i="7" l="1"/>
  <c r="W68" i="7"/>
  <c r="W58" i="7"/>
  <c r="W34" i="7"/>
  <c r="W23" i="7"/>
  <c r="W31" i="7"/>
  <c r="W29" i="7"/>
  <c r="W39" i="7"/>
  <c r="W61" i="7"/>
  <c r="W47" i="7"/>
  <c r="W63" i="7"/>
  <c r="W26" i="7"/>
  <c r="W55" i="7"/>
  <c r="W49" i="7"/>
  <c r="W25" i="7"/>
  <c r="W53" i="7"/>
  <c r="W28" i="7"/>
  <c r="W52" i="7"/>
  <c r="W64" i="7"/>
  <c r="W57" i="7"/>
  <c r="W19" i="7"/>
  <c r="J19" i="6" s="1"/>
  <c r="W21" i="7"/>
  <c r="J21" i="6" s="1"/>
  <c r="W33" i="7"/>
  <c r="W43" i="7"/>
  <c r="W40" i="7"/>
  <c r="W30" i="7"/>
  <c r="W56" i="7"/>
  <c r="W22" i="7"/>
  <c r="J22" i="6" s="1"/>
  <c r="W37" i="7"/>
  <c r="W45" i="7"/>
  <c r="W38" i="7"/>
  <c r="W66" i="7"/>
  <c r="W54" i="7"/>
  <c r="W46" i="7"/>
  <c r="W59" i="7"/>
  <c r="W60" i="7"/>
  <c r="W32" i="7"/>
  <c r="W44" i="7"/>
  <c r="W62" i="7"/>
  <c r="W50" i="7"/>
  <c r="W27" i="7"/>
  <c r="W24" i="7"/>
  <c r="W35" i="7"/>
  <c r="W36" i="7"/>
  <c r="W42" i="7"/>
  <c r="W20" i="7"/>
  <c r="J20" i="6" s="1"/>
  <c r="W67" i="7"/>
  <c r="W51" i="7"/>
  <c r="W41" i="7"/>
  <c r="I73" i="3"/>
  <c r="J74" i="3"/>
  <c r="M72" i="3"/>
  <c r="L72" i="3"/>
  <c r="BK8" i="3"/>
  <c r="BK11" i="3"/>
  <c r="J75" i="3" l="1"/>
  <c r="I74" i="3"/>
  <c r="M73" i="3"/>
  <c r="I60" i="12" s="1"/>
  <c r="L73" i="3"/>
  <c r="M74" i="3" l="1"/>
  <c r="L74" i="3"/>
  <c r="I75" i="3"/>
  <c r="J76" i="3"/>
  <c r="L75" i="3" l="1"/>
  <c r="BG31" i="3" s="1"/>
  <c r="M75" i="3"/>
  <c r="J77" i="3"/>
  <c r="I76" i="3"/>
  <c r="J78" i="3" l="1"/>
  <c r="I77" i="3"/>
  <c r="BG33" i="3"/>
  <c r="BI31" i="3"/>
  <c r="BD31" i="3" s="1"/>
  <c r="L76" i="3"/>
  <c r="M76" i="3"/>
  <c r="L77" i="3" l="1"/>
  <c r="BG32" i="3" s="1"/>
  <c r="M77" i="3"/>
  <c r="J79" i="3"/>
  <c r="I78" i="3"/>
  <c r="BG34" i="3"/>
  <c r="BI33" i="3"/>
  <c r="BD33" i="3" s="1"/>
  <c r="J80" i="3" l="1"/>
  <c r="I79" i="3"/>
  <c r="BI32" i="3"/>
  <c r="BD32" i="3" s="1"/>
  <c r="BG35" i="3"/>
  <c r="L78" i="3"/>
  <c r="M78" i="3"/>
  <c r="BI34" i="3"/>
  <c r="BD34" i="3" s="1"/>
  <c r="L79" i="3" l="1"/>
  <c r="BK31" i="3" s="1"/>
  <c r="M79" i="3"/>
  <c r="BI35" i="3"/>
  <c r="BD35" i="3" s="1"/>
  <c r="BG36" i="3"/>
  <c r="I80" i="3"/>
  <c r="J81" i="3"/>
  <c r="BK33" i="3" l="1"/>
  <c r="BD39" i="3"/>
  <c r="I81" i="3"/>
  <c r="J82" i="3"/>
  <c r="M80" i="3"/>
  <c r="L80" i="3"/>
  <c r="BK32" i="3" s="1"/>
  <c r="BI36" i="3"/>
  <c r="BD36" i="3" s="1"/>
  <c r="I82" i="3" l="1"/>
  <c r="L82" i="3" s="1"/>
  <c r="J83" i="3"/>
  <c r="BK34" i="3"/>
  <c r="BD42" i="3" s="1"/>
  <c r="BD41" i="3"/>
  <c r="BK35" i="3"/>
  <c r="BD40" i="3"/>
  <c r="M81" i="3"/>
  <c r="L81" i="3"/>
  <c r="M82" i="3" l="1"/>
  <c r="J84" i="3"/>
  <c r="I83" i="3"/>
  <c r="BK36" i="3"/>
  <c r="BD44" i="3" s="1"/>
  <c r="BD43" i="3"/>
  <c r="L83" i="3" l="1"/>
  <c r="M83" i="3"/>
  <c r="J85" i="3"/>
  <c r="I84" i="3"/>
  <c r="L84" i="3" l="1"/>
  <c r="M84" i="3"/>
  <c r="I85" i="3"/>
  <c r="J86" i="3"/>
  <c r="L85" i="3" l="1"/>
  <c r="M85" i="3"/>
  <c r="J87" i="3"/>
  <c r="I86" i="3"/>
  <c r="L86" i="3" l="1"/>
  <c r="M86" i="3"/>
  <c r="J88" i="3"/>
  <c r="I87" i="3"/>
  <c r="M87" i="3" l="1"/>
  <c r="L87" i="3"/>
  <c r="I88" i="3"/>
  <c r="J89" i="3"/>
  <c r="M88" i="3" l="1"/>
  <c r="L88" i="3"/>
  <c r="I89" i="3"/>
  <c r="J90" i="3"/>
  <c r="I90" i="3" l="1"/>
  <c r="J91" i="3"/>
  <c r="M89" i="3"/>
  <c r="L89" i="3"/>
  <c r="I91" i="3" l="1"/>
  <c r="J92" i="3"/>
  <c r="L90" i="3"/>
  <c r="M90" i="3"/>
  <c r="I92" i="3" l="1"/>
  <c r="J93" i="3"/>
  <c r="L91" i="3"/>
  <c r="M91" i="3"/>
  <c r="I93" i="3" l="1"/>
  <c r="J94" i="3"/>
  <c r="I94" i="3" s="1"/>
  <c r="L92" i="3"/>
  <c r="M92" i="3"/>
  <c r="L94" i="3" l="1"/>
  <c r="M94" i="3"/>
  <c r="L93" i="3"/>
  <c r="M93" i="3"/>
  <c r="C6" i="13"/>
</calcChain>
</file>

<file path=xl/sharedStrings.xml><?xml version="1.0" encoding="utf-8"?>
<sst xmlns="http://schemas.openxmlformats.org/spreadsheetml/2006/main" count="3909" uniqueCount="2136">
  <si>
    <t>Urinal wasserlos</t>
  </si>
  <si>
    <t>Urinal pro Person</t>
  </si>
  <si>
    <t>Waschtisch, Wandbecken</t>
  </si>
  <si>
    <t>Bidet</t>
  </si>
  <si>
    <t>Urinal mit Druckspüler</t>
  </si>
  <si>
    <t>Waschrinne bis 3 Entnahmestelle</t>
  </si>
  <si>
    <t>Schulwandbrunnen</t>
  </si>
  <si>
    <t>Wäschezentrifuge bis 10 kg</t>
  </si>
  <si>
    <t>Dusche nicht staubar</t>
  </si>
  <si>
    <t>Dusche staubar</t>
  </si>
  <si>
    <t>Urinal mit Spülkasten</t>
  </si>
  <si>
    <t>Bodenablauf DN 50</t>
  </si>
  <si>
    <t>Badewanne</t>
  </si>
  <si>
    <t>Wandausgussbecken</t>
  </si>
  <si>
    <t>Waschmaschine bis 6 kg</t>
  </si>
  <si>
    <t>Geschirrspülmaschine Gewerbe</t>
  </si>
  <si>
    <t>Geschirrspülmaschine Haushalt</t>
  </si>
  <si>
    <t>Bodenablauf DN 70</t>
  </si>
  <si>
    <t>Bodenablauf DN 56</t>
  </si>
  <si>
    <t>Waschtrog</t>
  </si>
  <si>
    <t>Spültisch 1- und 2-fach</t>
  </si>
  <si>
    <t>Klosettanlage 9 l Spülwassermenge</t>
  </si>
  <si>
    <t>Bodenablauf DN 100</t>
  </si>
  <si>
    <t>Grosswanne, Saunatauchbecken</t>
  </si>
  <si>
    <t xml:space="preserve">Anzahl </t>
  </si>
  <si>
    <t xml:space="preserve">Total </t>
  </si>
  <si>
    <t>Einfamilienhaus klein</t>
  </si>
  <si>
    <t>Einfamilienhaus mittel</t>
  </si>
  <si>
    <t>Einfamilienhaus gross</t>
  </si>
  <si>
    <t>Wohnung klein</t>
  </si>
  <si>
    <t>Wohnung mittel</t>
  </si>
  <si>
    <t>Wohnung gross</t>
  </si>
  <si>
    <t>Auswertung K Wert</t>
  </si>
  <si>
    <t>Unregelmässige Benützung, z.B. in Wohnhäusern, Pensionen, Büros</t>
  </si>
  <si>
    <t>regelmässige Benützung, z.B. in Krankenhäusern, Schulen, Restaurants, Hotels</t>
  </si>
  <si>
    <t>häufige Benützung, z.B. in öffentlichen Toiletten und/ oder Duschen</t>
  </si>
  <si>
    <t>Spezielle Benützung, z.B. Labor</t>
  </si>
  <si>
    <t>K</t>
  </si>
  <si>
    <t>Gleichzeitigkeitsfaktor (K Wert)</t>
  </si>
  <si>
    <t>Regenspende:</t>
  </si>
  <si>
    <t>Schachttiefe:</t>
  </si>
  <si>
    <t>RV:</t>
  </si>
  <si>
    <t>NV:</t>
  </si>
  <si>
    <t>DN 600</t>
  </si>
  <si>
    <t>DN 800</t>
  </si>
  <si>
    <t>DN 1000</t>
  </si>
  <si>
    <t>DN 1250</t>
  </si>
  <si>
    <t>DN 1500</t>
  </si>
  <si>
    <t>DN 2000</t>
  </si>
  <si>
    <t>ID</t>
  </si>
  <si>
    <t>cm NV</t>
  </si>
  <si>
    <t>cm RV</t>
  </si>
  <si>
    <t>V p cm i. l</t>
  </si>
  <si>
    <t>cm PS</t>
  </si>
  <si>
    <t>FWX 80</t>
  </si>
  <si>
    <t>FEX 80</t>
  </si>
  <si>
    <t xml:space="preserve">FMX </t>
  </si>
  <si>
    <t>Auswertung PS</t>
  </si>
  <si>
    <t>Birox</t>
  </si>
  <si>
    <t>Birox: 80</t>
  </si>
  <si>
    <t>Birox: 90</t>
  </si>
  <si>
    <t>Birox: 100/150</t>
  </si>
  <si>
    <t>Birox: 200</t>
  </si>
  <si>
    <t>FSX  50-155/2 012</t>
  </si>
  <si>
    <t>FWX 100</t>
  </si>
  <si>
    <t>FEX 100</t>
  </si>
  <si>
    <t>FEX 150</t>
  </si>
  <si>
    <t>Auswertung BF</t>
  </si>
  <si>
    <t>Spez. Pumpe</t>
  </si>
  <si>
    <t>ANX</t>
  </si>
  <si>
    <t>FSX</t>
  </si>
  <si>
    <t>FWX</t>
  </si>
  <si>
    <t>FEX</t>
  </si>
  <si>
    <t>FMX klein</t>
  </si>
  <si>
    <t>FMX gross</t>
  </si>
  <si>
    <t xml:space="preserve">FMX 50-160/2 016 bis 50-187/2 037 </t>
  </si>
  <si>
    <t>FMX 50-198/2 064 bis 50-219/2 095</t>
  </si>
  <si>
    <t>H Sumpf BF 12</t>
  </si>
  <si>
    <t>H Sumpf BF 11</t>
  </si>
  <si>
    <t>Auswertung</t>
  </si>
  <si>
    <t>Gesamtabwasserzufluss in l/s:</t>
  </si>
  <si>
    <t xml:space="preserve"> oberes Höhenausschluss-Mass: </t>
  </si>
  <si>
    <t>Einzelanlage</t>
  </si>
  <si>
    <t>Doppelanlage</t>
  </si>
  <si>
    <t xml:space="preserve">doppel: </t>
  </si>
  <si>
    <t xml:space="preserve">einzel: </t>
  </si>
  <si>
    <t xml:space="preserve">Bauform 11: </t>
  </si>
  <si>
    <t xml:space="preserve">Bauform 12: </t>
  </si>
  <si>
    <t xml:space="preserve"> unteres Höhenausschluss-Mass BF11: </t>
  </si>
  <si>
    <t xml:space="preserve"> unteres Höhenausschluss-Mass BF12: </t>
  </si>
  <si>
    <t xml:space="preserve">Pumpengrössen: </t>
  </si>
  <si>
    <t xml:space="preserve">kriterium FPS 1000: </t>
  </si>
  <si>
    <t xml:space="preserve">kriterium 1250er: </t>
  </si>
  <si>
    <t xml:space="preserve">Kriterum 1500er und 2000er: </t>
  </si>
  <si>
    <t xml:space="preserve">Höhe Gesamt: </t>
  </si>
  <si>
    <t xml:space="preserve">Höhe Nutzvolumen: </t>
  </si>
  <si>
    <t xml:space="preserve">Höhe Sumpf: </t>
  </si>
  <si>
    <t xml:space="preserve">Höhe Reserve: </t>
  </si>
  <si>
    <t xml:space="preserve">Ausschlüsse: </t>
  </si>
  <si>
    <t xml:space="preserve">Höhe Boden: </t>
  </si>
  <si>
    <t xml:space="preserve">Höhe Deckel: </t>
  </si>
  <si>
    <t>[cm]</t>
  </si>
  <si>
    <t>max Höhe (Angabe Kunde)</t>
  </si>
  <si>
    <t>Doppel BF 12</t>
  </si>
  <si>
    <t>Einzel BF 11</t>
  </si>
  <si>
    <t>Einzel BF 12</t>
  </si>
  <si>
    <t>Doppel BF 11</t>
  </si>
  <si>
    <t xml:space="preserve">Höhe Schachtverlängerung: </t>
  </si>
  <si>
    <t>Hat das Reservevolumen Platz?</t>
  </si>
  <si>
    <t xml:space="preserve"> ist der unterste Einlauf oberhalb Nutzvolumen?</t>
  </si>
  <si>
    <t>Hat die Pumpe genügend Überdeckung?</t>
  </si>
  <si>
    <t>H Nutzvolumen BF 12</t>
  </si>
  <si>
    <t>H Nutzvolumen BF 11</t>
  </si>
  <si>
    <t>FPS DN 800</t>
  </si>
  <si>
    <t>FPS DN 1000</t>
  </si>
  <si>
    <t>NSK DN 1250</t>
  </si>
  <si>
    <t>PBS DN 1500</t>
  </si>
  <si>
    <t>PBS DN 2000</t>
  </si>
  <si>
    <t>NSZ DN 1250</t>
  </si>
  <si>
    <t>NSZ-D DN 1250</t>
  </si>
  <si>
    <t xml:space="preserve">Kegel Korrektur: </t>
  </si>
  <si>
    <t>Konus Korrektur</t>
  </si>
  <si>
    <t xml:space="preserve">Höhe Gesamt mit Schachtverl.: </t>
  </si>
  <si>
    <t>max höhe (Vorgabe Biral)</t>
  </si>
  <si>
    <t>min Höhe BF11 (Vorgabe Biral)</t>
  </si>
  <si>
    <t>min Höhe BF12 (Vorgabe Biral)</t>
  </si>
  <si>
    <t>Auswertung Pumpen art</t>
  </si>
  <si>
    <t>Pumpenauswahl</t>
  </si>
  <si>
    <t>Ein/Aus Betrieb:</t>
  </si>
  <si>
    <t>Dauerbetrieb:</t>
  </si>
  <si>
    <t>Bis ausschluss</t>
  </si>
  <si>
    <t>Kontrolle Resevevolumen</t>
  </si>
  <si>
    <t>600er Schacht</t>
  </si>
  <si>
    <t>X</t>
  </si>
  <si>
    <t>Y</t>
  </si>
  <si>
    <t>1a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</si>
  <si>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</si>
  <si>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</si>
  <si>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</si>
  <si>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</si>
  <si>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</si>
  <si>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</si>
  <si>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</si>
  <si>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</si>
  <si>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</si>
  <si>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</si>
  <si>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</si>
  <si>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4b</t>
  </si>
  <si>
    <t>9b</t>
  </si>
  <si>
    <t>13a</t>
  </si>
  <si>
    <t>14a</t>
  </si>
  <si>
    <t>15a</t>
  </si>
  <si>
    <t>16a</t>
  </si>
  <si>
    <t>16b</t>
  </si>
  <si>
    <t>17a</t>
  </si>
  <si>
    <t>18a</t>
  </si>
  <si>
    <t>19a</t>
  </si>
  <si>
    <t>20a</t>
  </si>
  <si>
    <t>21a</t>
  </si>
  <si>
    <t>21b</t>
  </si>
  <si>
    <t>22a</t>
  </si>
  <si>
    <t>23a</t>
  </si>
  <si>
    <t>24a</t>
  </si>
  <si>
    <t>links</t>
  </si>
  <si>
    <t>rechts</t>
  </si>
  <si>
    <t>deckel</t>
  </si>
  <si>
    <t>25a</t>
  </si>
  <si>
    <t>26a</t>
  </si>
  <si>
    <t>Einlauf</t>
  </si>
  <si>
    <t>Druckleitung</t>
  </si>
  <si>
    <t>VN</t>
  </si>
  <si>
    <t>VR</t>
  </si>
  <si>
    <t>Auswertung Welchen Schacht</t>
  </si>
  <si>
    <t>FPS 800</t>
  </si>
  <si>
    <t>FPS 1000</t>
  </si>
  <si>
    <t>Einzel Doppel Bauform Auswertung</t>
  </si>
  <si>
    <t>4c</t>
  </si>
  <si>
    <t>4d</t>
  </si>
  <si>
    <t>4e</t>
  </si>
  <si>
    <t>4f</t>
  </si>
  <si>
    <t>9c</t>
  </si>
  <si>
    <t>9d</t>
  </si>
  <si>
    <t>9e</t>
  </si>
  <si>
    <t>9f</t>
  </si>
  <si>
    <t>16c</t>
  </si>
  <si>
    <t>16d</t>
  </si>
  <si>
    <t>16e</t>
  </si>
  <si>
    <t>16f</t>
  </si>
  <si>
    <t>21c</t>
  </si>
  <si>
    <t>21d</t>
  </si>
  <si>
    <t>21e</t>
  </si>
  <si>
    <t>21f</t>
  </si>
  <si>
    <t>Schacht wählen</t>
  </si>
  <si>
    <t>1250 NSK</t>
  </si>
  <si>
    <t>1250 NSZ</t>
  </si>
  <si>
    <t>1250 NSZ D</t>
  </si>
  <si>
    <t>1500 PBS</t>
  </si>
  <si>
    <t>2000 PBS</t>
  </si>
  <si>
    <t>Nutz</t>
  </si>
  <si>
    <t>Reserv</t>
  </si>
  <si>
    <t>einzeln</t>
  </si>
  <si>
    <t>doppelt</t>
  </si>
  <si>
    <t>27a</t>
  </si>
  <si>
    <t>28a</t>
  </si>
  <si>
    <t>einlaufkorrektur</t>
  </si>
  <si>
    <t>Segmente</t>
  </si>
  <si>
    <t>y</t>
  </si>
  <si>
    <t>x aussen links</t>
  </si>
  <si>
    <t>x aussen rechts</t>
  </si>
  <si>
    <t>x</t>
  </si>
  <si>
    <t>untersts element</t>
  </si>
  <si>
    <t>jedes weitere element</t>
  </si>
  <si>
    <t>max Höhe</t>
  </si>
  <si>
    <t>Segment 1</t>
  </si>
  <si>
    <t>Segment 2</t>
  </si>
  <si>
    <t>Segment 3</t>
  </si>
  <si>
    <t>Segment 4</t>
  </si>
  <si>
    <t>Segment 5</t>
  </si>
  <si>
    <t>Segment 6</t>
  </si>
  <si>
    <t>Segment 7</t>
  </si>
  <si>
    <t>Segment 8</t>
  </si>
  <si>
    <t>Segment 9</t>
  </si>
  <si>
    <t>Segment 10</t>
  </si>
  <si>
    <t>Segment 11</t>
  </si>
  <si>
    <t>Segment 12</t>
  </si>
  <si>
    <t>Segment 13</t>
  </si>
  <si>
    <t>Segment 14</t>
  </si>
  <si>
    <t>Segment 15</t>
  </si>
  <si>
    <t>Segment 16</t>
  </si>
  <si>
    <t>Segment 17</t>
  </si>
  <si>
    <t>Segment 18</t>
  </si>
  <si>
    <t>Segment 19</t>
  </si>
  <si>
    <t>Segment 20</t>
  </si>
  <si>
    <t>Segment 21</t>
  </si>
  <si>
    <t>Segment 22</t>
  </si>
  <si>
    <t>Segment 23</t>
  </si>
  <si>
    <t>Segment 24</t>
  </si>
  <si>
    <t>Segment 25</t>
  </si>
  <si>
    <t>Segment 26</t>
  </si>
  <si>
    <t>Segment 27</t>
  </si>
  <si>
    <t>Segment 28</t>
  </si>
  <si>
    <t>Segment 29</t>
  </si>
  <si>
    <t>Segment 30</t>
  </si>
  <si>
    <t>Segment 31</t>
  </si>
  <si>
    <t>Segment 32</t>
  </si>
  <si>
    <t>Pumpe</t>
  </si>
  <si>
    <t>Pumpe 1</t>
  </si>
  <si>
    <t>Pumpe 2</t>
  </si>
  <si>
    <t>Pumpe 1a</t>
  </si>
  <si>
    <t>Pumpe 1b</t>
  </si>
  <si>
    <t>Pumpe 2a</t>
  </si>
  <si>
    <t>Pumpe 2b</t>
  </si>
  <si>
    <t>doppel</t>
  </si>
  <si>
    <t>Pumpe2a</t>
  </si>
  <si>
    <t>Deckel</t>
  </si>
  <si>
    <t>Deckel FPS</t>
  </si>
  <si>
    <t>Deckel Auswahl:</t>
  </si>
  <si>
    <t>DN 600 1 t</t>
  </si>
  <si>
    <t>DN 600 5 t</t>
  </si>
  <si>
    <t>D 400</t>
  </si>
  <si>
    <t>1 t</t>
  </si>
  <si>
    <t xml:space="preserve">5t </t>
  </si>
  <si>
    <t>Deckel D400</t>
  </si>
  <si>
    <t>Deckel -5t</t>
  </si>
  <si>
    <t>Deckel 1t</t>
  </si>
  <si>
    <t>Schachtdurchmesser</t>
  </si>
  <si>
    <t>mm bis zum nächstes Segment</t>
  </si>
  <si>
    <t>Kot(z)en</t>
  </si>
  <si>
    <t xml:space="preserve">Installateur: </t>
  </si>
  <si>
    <t xml:space="preserve">Anlage: </t>
  </si>
  <si>
    <t xml:space="preserve">Strasse: </t>
  </si>
  <si>
    <t xml:space="preserve">Ort: </t>
  </si>
  <si>
    <t xml:space="preserve">Bemerkung: </t>
  </si>
  <si>
    <t>a</t>
  </si>
  <si>
    <t>Grundlinie</t>
  </si>
  <si>
    <t>FMX 50-135 bis 50-98</t>
  </si>
  <si>
    <t>Max. Höhen Strich</t>
  </si>
  <si>
    <t>H Schacht</t>
  </si>
  <si>
    <t>Mass bis unterster Apparat</t>
  </si>
  <si>
    <t>nsk</t>
  </si>
  <si>
    <t>nsz</t>
  </si>
  <si>
    <t>nsz-d</t>
  </si>
  <si>
    <t>pbs 1500</t>
  </si>
  <si>
    <t>pbs 2000</t>
  </si>
  <si>
    <t>h ok VN</t>
  </si>
  <si>
    <t xml:space="preserve">Mass bis Einlauf: </t>
  </si>
  <si>
    <t>Deckel Warnung:</t>
  </si>
  <si>
    <t>Grösse Schachtabdeckung bitte Abklären</t>
  </si>
  <si>
    <t>Höhe für FPS Kunstoffteil</t>
  </si>
  <si>
    <t xml:space="preserve"> FPS DN 800</t>
  </si>
  <si>
    <t xml:space="preserve"> FPS DN 1000</t>
  </si>
  <si>
    <t>NSK 1250</t>
  </si>
  <si>
    <t>NSZ 1250</t>
  </si>
  <si>
    <t>PBS 1500</t>
  </si>
  <si>
    <t>PBS 2000</t>
  </si>
  <si>
    <t>Sumpf in mm</t>
  </si>
  <si>
    <t>Entwässerungsgegenstände</t>
  </si>
  <si>
    <t>Sumpf erhöhen in mm</t>
  </si>
  <si>
    <t>Waschmaschine 7 bis 12  kg</t>
  </si>
  <si>
    <t>Waschmaschine 13 bis 40 kg</t>
  </si>
  <si>
    <t>Waschrinne 4 bis 10 Entnahmestellen</t>
  </si>
  <si>
    <t>Direkte Auslegung</t>
  </si>
  <si>
    <t>Auslegung über DU Berechnung</t>
  </si>
  <si>
    <t>DU Manuel mit Fäkalien Wahr oder Falsch</t>
  </si>
  <si>
    <t>Ergebniss</t>
  </si>
  <si>
    <t>5 Liter Auswertung</t>
  </si>
  <si>
    <t>summe</t>
  </si>
  <si>
    <t>Kleiner 5 Wahr = 1</t>
  </si>
  <si>
    <t>1=wahr DU mit WC</t>
  </si>
  <si>
    <t xml:space="preserve">Schacht bis zum untersten Einlauf verlängern </t>
  </si>
  <si>
    <t>❶</t>
  </si>
  <si>
    <t>❷</t>
  </si>
  <si>
    <t>❸</t>
  </si>
  <si>
    <t>❹</t>
  </si>
  <si>
    <t>Beschriftung der Linie</t>
  </si>
  <si>
    <t>Legende:</t>
  </si>
  <si>
    <t>VR: Reservevolumen</t>
  </si>
  <si>
    <t>VN: Nutzvolumen</t>
  </si>
  <si>
    <t>SU: Pumpensumpf</t>
  </si>
  <si>
    <t>DN</t>
  </si>
  <si>
    <t>5_/4</t>
  </si>
  <si>
    <t>2 zoll</t>
  </si>
  <si>
    <t>1 zoll</t>
  </si>
  <si>
    <t>50 mm</t>
  </si>
  <si>
    <t>80 mm</t>
  </si>
  <si>
    <t>100 mm</t>
  </si>
  <si>
    <t>150 mm</t>
  </si>
  <si>
    <t>nennvolumenstrom</t>
  </si>
  <si>
    <t>Strömungsgeschw.</t>
  </si>
  <si>
    <t>m/s</t>
  </si>
  <si>
    <t>DU manuell bestimmen</t>
  </si>
  <si>
    <t>VN 2/</t>
  </si>
  <si>
    <t>birne auf VN</t>
  </si>
  <si>
    <t>Birne auf SU</t>
  </si>
  <si>
    <t>BF 11 Nassaufstellung mit Kupplungssystem</t>
  </si>
  <si>
    <t>BF 12 Nassaufstellung mit Stützfuss</t>
  </si>
  <si>
    <t>FPS 800 oder 1000</t>
  </si>
  <si>
    <t>Auf Segment</t>
  </si>
  <si>
    <t>Beides Wahr</t>
  </si>
  <si>
    <t>Effektive Zeichung</t>
  </si>
  <si>
    <t>min Segment</t>
  </si>
  <si>
    <t xml:space="preserve">         DN600</t>
  </si>
  <si>
    <t xml:space="preserve">         DN800</t>
  </si>
  <si>
    <t>DN Deckel Wahl</t>
  </si>
  <si>
    <t>TopLine 40 /50</t>
  </si>
  <si>
    <t>TopLine 65</t>
  </si>
  <si>
    <t>Überprüfung Deckel</t>
  </si>
  <si>
    <t>NSZ-D 1250</t>
  </si>
  <si>
    <t xml:space="preserve">Birox </t>
  </si>
  <si>
    <t>Armaturen</t>
  </si>
  <si>
    <t xml:space="preserve">RV </t>
  </si>
  <si>
    <t>ohne</t>
  </si>
  <si>
    <t>TopLine 40/50</t>
  </si>
  <si>
    <t>FWX / FEX</t>
  </si>
  <si>
    <t>FMX</t>
  </si>
  <si>
    <t xml:space="preserve">Doppel Zuschlag </t>
  </si>
  <si>
    <t>Boden Zuschlag</t>
  </si>
  <si>
    <t>FWX / FEX 80</t>
  </si>
  <si>
    <t>FWX / FEX 100</t>
  </si>
  <si>
    <t xml:space="preserve"> FEX 150</t>
  </si>
  <si>
    <t>FMX gr.</t>
  </si>
  <si>
    <t>FMX kl.</t>
  </si>
  <si>
    <t>unterschritten</t>
  </si>
  <si>
    <t>Betrag</t>
  </si>
  <si>
    <t>Alle Masse</t>
  </si>
  <si>
    <t>in mm:</t>
  </si>
  <si>
    <t>NSZ  DN 1250</t>
  </si>
  <si>
    <t>Design Unit</t>
  </si>
  <si>
    <t>Deutsch</t>
  </si>
  <si>
    <t>français</t>
  </si>
  <si>
    <t>Feld</t>
  </si>
  <si>
    <t>Deutsch 1</t>
  </si>
  <si>
    <t>Deutsch 2</t>
  </si>
  <si>
    <t>Französisch 1</t>
  </si>
  <si>
    <t>Französisch 2</t>
  </si>
  <si>
    <t>C3</t>
  </si>
  <si>
    <t>D5</t>
  </si>
  <si>
    <t>D7</t>
  </si>
  <si>
    <t>Datum:</t>
  </si>
  <si>
    <t>D9</t>
  </si>
  <si>
    <t>D13</t>
  </si>
  <si>
    <t>D14</t>
  </si>
  <si>
    <t>D19</t>
  </si>
  <si>
    <t>C21</t>
  </si>
  <si>
    <t>D21</t>
  </si>
  <si>
    <t>E21</t>
  </si>
  <si>
    <t>F21</t>
  </si>
  <si>
    <t>D22</t>
  </si>
  <si>
    <t>D23</t>
  </si>
  <si>
    <t>D24</t>
  </si>
  <si>
    <t>D25</t>
  </si>
  <si>
    <t>D27</t>
  </si>
  <si>
    <t>D28</t>
  </si>
  <si>
    <t>D29</t>
  </si>
  <si>
    <t>D30</t>
  </si>
  <si>
    <t>D31</t>
  </si>
  <si>
    <t>D33</t>
  </si>
  <si>
    <t>D34</t>
  </si>
  <si>
    <t>D36</t>
  </si>
  <si>
    <t>D37</t>
  </si>
  <si>
    <t>D38</t>
  </si>
  <si>
    <t>D40</t>
  </si>
  <si>
    <t>D41</t>
  </si>
  <si>
    <t>D42</t>
  </si>
  <si>
    <t>D43</t>
  </si>
  <si>
    <t>D44</t>
  </si>
  <si>
    <t>D45</t>
  </si>
  <si>
    <t>D47</t>
  </si>
  <si>
    <t>D48</t>
  </si>
  <si>
    <t>D49</t>
  </si>
  <si>
    <t>D50</t>
  </si>
  <si>
    <t>D51</t>
  </si>
  <si>
    <t>D53</t>
  </si>
  <si>
    <t>D54</t>
  </si>
  <si>
    <t>D55</t>
  </si>
  <si>
    <t>D56</t>
  </si>
  <si>
    <t>D58</t>
  </si>
  <si>
    <t>D59</t>
  </si>
  <si>
    <t>D60</t>
  </si>
  <si>
    <t>D65</t>
  </si>
  <si>
    <t>D66</t>
  </si>
  <si>
    <t>D67</t>
  </si>
  <si>
    <t>D68</t>
  </si>
  <si>
    <t>C69</t>
  </si>
  <si>
    <t xml:space="preserve"> Bitte Medium definieren</t>
  </si>
  <si>
    <t>E68</t>
  </si>
  <si>
    <t>ohne Fäkalien</t>
  </si>
  <si>
    <t>E69</t>
  </si>
  <si>
    <t>inkl. WC (Fäkalienabwasser)</t>
  </si>
  <si>
    <t>A30 (Blau)</t>
  </si>
  <si>
    <t>D72</t>
  </si>
  <si>
    <t>D73</t>
  </si>
  <si>
    <t>D74</t>
  </si>
  <si>
    <t>D75</t>
  </si>
  <si>
    <t>D76</t>
  </si>
  <si>
    <t>D78</t>
  </si>
  <si>
    <t>D79</t>
  </si>
  <si>
    <t>D80</t>
  </si>
  <si>
    <t>D82</t>
  </si>
  <si>
    <t>D83</t>
  </si>
  <si>
    <t>D84</t>
  </si>
  <si>
    <t>D85</t>
  </si>
  <si>
    <t>D87</t>
  </si>
  <si>
    <t>D90</t>
  </si>
  <si>
    <t>D92</t>
  </si>
  <si>
    <t>D93</t>
  </si>
  <si>
    <t>D94</t>
  </si>
  <si>
    <t>D96</t>
  </si>
  <si>
    <t>D97</t>
  </si>
  <si>
    <t>D98</t>
  </si>
  <si>
    <t>D100</t>
  </si>
  <si>
    <t>D101</t>
  </si>
  <si>
    <t>D102</t>
  </si>
  <si>
    <t>D103</t>
  </si>
  <si>
    <t>D104</t>
  </si>
  <si>
    <t>D105</t>
  </si>
  <si>
    <t>D106</t>
  </si>
  <si>
    <t>D107</t>
  </si>
  <si>
    <t>D108</t>
  </si>
  <si>
    <t>D109</t>
  </si>
  <si>
    <t>D110</t>
  </si>
  <si>
    <t>D111</t>
  </si>
  <si>
    <t>F97</t>
  </si>
  <si>
    <t>F98</t>
  </si>
  <si>
    <t>F101</t>
  </si>
  <si>
    <t>F102</t>
  </si>
  <si>
    <t>F105</t>
  </si>
  <si>
    <t>F106</t>
  </si>
  <si>
    <t>F107</t>
  </si>
  <si>
    <t>F108</t>
  </si>
  <si>
    <t>F110</t>
  </si>
  <si>
    <t>F111</t>
  </si>
  <si>
    <t>D88</t>
  </si>
  <si>
    <t>E86</t>
  </si>
  <si>
    <t>E87</t>
  </si>
  <si>
    <t>E88</t>
  </si>
  <si>
    <t>D112</t>
  </si>
  <si>
    <t>D113</t>
  </si>
  <si>
    <t>Bitte Platzverhältnisse prüffen</t>
  </si>
  <si>
    <t>C117</t>
  </si>
  <si>
    <t>Selectorfeld</t>
  </si>
  <si>
    <t>Achtung</t>
  </si>
  <si>
    <t>Gut</t>
  </si>
  <si>
    <t>Schachtselector</t>
  </si>
  <si>
    <t>Q40</t>
  </si>
  <si>
    <t>Q41</t>
  </si>
  <si>
    <t>Q42</t>
  </si>
  <si>
    <t>Q43</t>
  </si>
  <si>
    <t>Q44</t>
  </si>
  <si>
    <t>Q45</t>
  </si>
  <si>
    <t>Q46</t>
  </si>
  <si>
    <t>Q47</t>
  </si>
  <si>
    <t>Q48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</si>
  <si>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</si>
  <si>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</si>
  <si>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</si>
  <si>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</si>
  <si>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</si>
  <si>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</si>
  <si>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</si>
  <si>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</si>
  <si>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</si>
  <si>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</si>
  <si>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</si>
  <si>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</si>
  <si>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</si>
  <si>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</si>
  <si>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</si>
  <si>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</si>
  <si>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</si>
  <si>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</si>
  <si>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Z40</t>
  </si>
  <si>
    <t>Z41</t>
  </si>
  <si>
    <t>Z42</t>
  </si>
  <si>
    <t>Z43</t>
  </si>
  <si>
    <t>Z44</t>
  </si>
  <si>
    <t>Z45</t>
  </si>
  <si>
    <t>Z46</t>
  </si>
  <si>
    <t>Z47</t>
  </si>
  <si>
    <t>Z48</t>
  </si>
  <si>
    <t>AC40</t>
  </si>
  <si>
    <t>AC41</t>
  </si>
  <si>
    <t>AC42</t>
  </si>
  <si>
    <t>AC43</t>
  </si>
  <si>
    <t>AC44</t>
  </si>
  <si>
    <t>AC45</t>
  </si>
  <si>
    <t>AC46</t>
  </si>
  <si>
    <t>AC47</t>
  </si>
  <si>
    <t>AC48</t>
  </si>
  <si>
    <t>AF40</t>
  </si>
  <si>
    <t>AF41</t>
  </si>
  <si>
    <t>AF42</t>
  </si>
  <si>
    <t>AF43</t>
  </si>
  <si>
    <t>AF44</t>
  </si>
  <si>
    <t>AF45</t>
  </si>
  <si>
    <t>AF46</t>
  </si>
  <si>
    <t>AF47</t>
  </si>
  <si>
    <t>AF48</t>
  </si>
  <si>
    <t>AI40</t>
  </si>
  <si>
    <t>AI41</t>
  </si>
  <si>
    <t>AI42</t>
  </si>
  <si>
    <t>AI43</t>
  </si>
  <si>
    <t>AI44</t>
  </si>
  <si>
    <t>AI45</t>
  </si>
  <si>
    <t>AI46</t>
  </si>
  <si>
    <t>AI47</t>
  </si>
  <si>
    <t>AI48</t>
  </si>
  <si>
    <t>AL40</t>
  </si>
  <si>
    <t>AL41</t>
  </si>
  <si>
    <t>AL42</t>
  </si>
  <si>
    <t>AL43</t>
  </si>
  <si>
    <t>AL44</t>
  </si>
  <si>
    <t>AL45</t>
  </si>
  <si>
    <t>AL46</t>
  </si>
  <si>
    <t>AL47</t>
  </si>
  <si>
    <t>AL48</t>
  </si>
  <si>
    <t>D175</t>
  </si>
  <si>
    <t>D177</t>
  </si>
  <si>
    <t>D178</t>
  </si>
  <si>
    <t>D179</t>
  </si>
  <si>
    <t>D180</t>
  </si>
  <si>
    <t>D181</t>
  </si>
  <si>
    <t>F175</t>
  </si>
  <si>
    <t>F177</t>
  </si>
  <si>
    <t>F178</t>
  </si>
  <si>
    <t>F179</t>
  </si>
  <si>
    <t>C183</t>
  </si>
  <si>
    <t>C184</t>
  </si>
  <si>
    <t>C185</t>
  </si>
  <si>
    <t>F222</t>
  </si>
  <si>
    <t>G223</t>
  </si>
  <si>
    <t>G224</t>
  </si>
  <si>
    <t>G225</t>
  </si>
  <si>
    <t>G226</t>
  </si>
  <si>
    <t>A186</t>
  </si>
  <si>
    <t>A187</t>
  </si>
  <si>
    <t>italiano</t>
  </si>
  <si>
    <t>gewählte Sprachbausteine</t>
  </si>
  <si>
    <t>Text1</t>
  </si>
  <si>
    <t>Text2</t>
  </si>
  <si>
    <t>Italienisch1</t>
  </si>
  <si>
    <t>Italienisch2</t>
  </si>
  <si>
    <t>A82</t>
  </si>
  <si>
    <t>A90</t>
  </si>
  <si>
    <t>G91</t>
  </si>
  <si>
    <t>H Nutz</t>
  </si>
  <si>
    <t>Auswertung (alle Masse in mm):</t>
  </si>
  <si>
    <t>H Nutzvolumen</t>
  </si>
  <si>
    <t>H Reservolumen</t>
  </si>
  <si>
    <t>H Sumpfvolumen</t>
  </si>
  <si>
    <t>französisch</t>
  </si>
  <si>
    <t>italienisch</t>
  </si>
  <si>
    <t>nicht geeignet</t>
  </si>
  <si>
    <t>Bon</t>
  </si>
  <si>
    <t>Attention</t>
  </si>
  <si>
    <t>Auswahl</t>
  </si>
  <si>
    <t>inadéquat</t>
  </si>
  <si>
    <t>inadatto</t>
  </si>
  <si>
    <t>attenzione</t>
  </si>
  <si>
    <t>buono</t>
  </si>
  <si>
    <t xml:space="preserve">Überdeckung kritisch um </t>
  </si>
  <si>
    <t xml:space="preserve">Schacht zu hoch um </t>
  </si>
  <si>
    <t xml:space="preserve">Schacht zu kurz min Höhe BF11 unterschritten um </t>
  </si>
  <si>
    <t xml:space="preserve">Schacht zu kurz min Höhe BF 12 unterschritten um </t>
  </si>
  <si>
    <t xml:space="preserve">Schacht zu hoch um  </t>
  </si>
  <si>
    <t xml:space="preserve">Schacht zu kurz min Höhe BF12 unterschritten um </t>
  </si>
  <si>
    <t xml:space="preserve"> BF 11 doppel</t>
  </si>
  <si>
    <t xml:space="preserve"> Deckel zu klein</t>
  </si>
  <si>
    <t>Schachtverlängerung in mm</t>
  </si>
  <si>
    <t xml:space="preserve">Schachtverlängerung (um </t>
  </si>
  <si>
    <t xml:space="preserve"> mm verlängern</t>
  </si>
  <si>
    <t>Dropdown</t>
  </si>
  <si>
    <t>BF 12 nicht empfehlenswert</t>
  </si>
  <si>
    <t>E104</t>
  </si>
  <si>
    <t xml:space="preserve">OK Schacht                        </t>
  </si>
  <si>
    <t xml:space="preserve">UK Schacht                  </t>
  </si>
  <si>
    <t>Zeichnung</t>
  </si>
  <si>
    <t>UKD</t>
  </si>
  <si>
    <t>OKD</t>
  </si>
  <si>
    <t>Skizze Sprache</t>
  </si>
  <si>
    <t>nächstes Segment</t>
  </si>
  <si>
    <t>Skizze</t>
  </si>
  <si>
    <t>OK Terrain</t>
  </si>
  <si>
    <t>Unterster Apparat</t>
  </si>
  <si>
    <t>mit Kiesbelag (0.6)</t>
  </si>
  <si>
    <t>mit Ökosystem (Splittfugen) (0.6)</t>
  </si>
  <si>
    <t>mit Sickersteinen (0.2)</t>
  </si>
  <si>
    <t>mit Rasengitter (0.2)</t>
  </si>
  <si>
    <t>Plätze und Wege</t>
  </si>
  <si>
    <t xml:space="preserve">           mit Hartbelag (1)</t>
  </si>
  <si>
    <t xml:space="preserve">           mit Kiesbelag (0.6)</t>
  </si>
  <si>
    <t xml:space="preserve">           mit Ökosystem (Splittfugen) (0.6)</t>
  </si>
  <si>
    <t xml:space="preserve">           mit siskerfähiger Belag (0.6)</t>
  </si>
  <si>
    <t xml:space="preserve">           mit Sickersteinen (0.2)</t>
  </si>
  <si>
    <t xml:space="preserve">           mit Rasengitter (0.2)</t>
  </si>
  <si>
    <t xml:space="preserve">           &gt; 50cm (0.1)</t>
  </si>
  <si>
    <t xml:space="preserve">           &gt;25-50 cm (0.2)</t>
  </si>
  <si>
    <t xml:space="preserve">           &gt;10-25 cm (0.4)</t>
  </si>
  <si>
    <t xml:space="preserve">         Begrünte Fläce Aufbaudicke</t>
  </si>
  <si>
    <t xml:space="preserve">         Plätze und Wege</t>
  </si>
  <si>
    <t xml:space="preserve">        Mittlere Regenmenge (CH 0.03 l/s m²)</t>
  </si>
  <si>
    <t>Gesamtabwasserzufluss in l/s pauschal</t>
  </si>
  <si>
    <t>Einzelner Dauerzufluss in l/s</t>
  </si>
  <si>
    <t>Regenwasserzufluss einzel in m²</t>
  </si>
  <si>
    <t>Sonstige Einzelzuflüsse in l/s</t>
  </si>
  <si>
    <t>Achtung hier keine Dauerzuflüsse!</t>
  </si>
  <si>
    <t>Direkte Auslegung Details (optional)</t>
  </si>
  <si>
    <t>Sumpf erhöhen</t>
  </si>
  <si>
    <t>BF 11 nicht möglich</t>
  </si>
  <si>
    <t xml:space="preserve"> DN 150 Druckleitung nicht möglich</t>
  </si>
  <si>
    <t xml:space="preserve"> Schacht zu kurz min Höhe BF12 unterschritten um</t>
  </si>
  <si>
    <t xml:space="preserve"> Überdeckung kritisch um </t>
  </si>
  <si>
    <t xml:space="preserve"> bitte Anfragen</t>
  </si>
  <si>
    <t>Pumpen Auswahl und Definition Sumpf</t>
  </si>
  <si>
    <t>Aufstellungsart</t>
  </si>
  <si>
    <t>Sprach / langue / lingua (Dropdown):</t>
  </si>
  <si>
    <t>Installateur:</t>
  </si>
  <si>
    <t>Installatore:</t>
  </si>
  <si>
    <t xml:space="preserve">Date: </t>
  </si>
  <si>
    <t>Data:</t>
  </si>
  <si>
    <t>Installation:</t>
  </si>
  <si>
    <t>Impianto:</t>
  </si>
  <si>
    <t>Rue:</t>
  </si>
  <si>
    <t>Via:</t>
  </si>
  <si>
    <t>Lieu:</t>
  </si>
  <si>
    <t>Città:</t>
  </si>
  <si>
    <t>Remarque:</t>
  </si>
  <si>
    <t>Note:</t>
  </si>
  <si>
    <t>Quantità</t>
  </si>
  <si>
    <t>Pièces de drainage</t>
  </si>
  <si>
    <t>Elementi da drenare</t>
  </si>
  <si>
    <t>Design unit</t>
  </si>
  <si>
    <t>Totale</t>
  </si>
  <si>
    <t>Orinatoio senz'acqua</t>
  </si>
  <si>
    <t>Orinatoio per persona</t>
  </si>
  <si>
    <t>Orinatoio con flussometro</t>
  </si>
  <si>
    <t>Urinoir avec réservoir de chasse</t>
  </si>
  <si>
    <t>Orinatoio con sciacquone</t>
  </si>
  <si>
    <t>Lavabo, lavandino</t>
  </si>
  <si>
    <t>Bac à laver</t>
  </si>
  <si>
    <t>Vasca di lavaggio</t>
  </si>
  <si>
    <t>Évier mural</t>
  </si>
  <si>
    <t>Lavatoio da parete</t>
  </si>
  <si>
    <t>Table de lavage unique et double</t>
  </si>
  <si>
    <t>Banco di lavaggio a 1 e 2 vasche</t>
  </si>
  <si>
    <t>Gruppo vaso a sedere fino a 9 l di acqua di risciacquo</t>
  </si>
  <si>
    <t>Fontaine murale pour école</t>
  </si>
  <si>
    <t>Lavandino da parete per scuole</t>
  </si>
  <si>
    <t>Lavabo-rigole jusqu'à 3 points de distribution</t>
  </si>
  <si>
    <t>Lavabo lineare con massimo 3 punti di prelievo</t>
  </si>
  <si>
    <t>Lavabo-rigole entre 4 et 10 points de distribution</t>
  </si>
  <si>
    <t>Lavabo lineare con  4-10 punti di prelievo</t>
  </si>
  <si>
    <t>Essoreuse jusqu'à 10 kg</t>
  </si>
  <si>
    <t>Centrifuga per indumenti fino a 10 kg</t>
  </si>
  <si>
    <t>Machine à laver jusqu'à 6 kg</t>
  </si>
  <si>
    <t>Lavatrice fino a 6 kg</t>
  </si>
  <si>
    <t>Machine à laver entre 7 et 12 kg</t>
  </si>
  <si>
    <t>Lavatrice da 7 a 12 kg</t>
  </si>
  <si>
    <t>Machine à laver entre 13 et 40 kg</t>
  </si>
  <si>
    <t>Lavatrice da 13 a 40 kg</t>
  </si>
  <si>
    <t>Lavastoviglie domestica</t>
  </si>
  <si>
    <t>Lavastoviglie industriale</t>
  </si>
  <si>
    <t>Douche à non rétention</t>
  </si>
  <si>
    <t>Doccia senza possibilità di formazione di polveri</t>
  </si>
  <si>
    <t>Douche à rétention</t>
  </si>
  <si>
    <t>Doccia con possibilità di formazione di polveri</t>
  </si>
  <si>
    <t>Baignoire</t>
  </si>
  <si>
    <t>Vasca da bagno</t>
  </si>
  <si>
    <t>Grande baignoire, bassin pour sauna</t>
  </si>
  <si>
    <t>Grande vasca, vasca di reazione per sauna</t>
  </si>
  <si>
    <t>Écoulement au sol DN 50</t>
  </si>
  <si>
    <t>Pozzetto di scarico DN 50</t>
  </si>
  <si>
    <t>Écoulement au sol DN 56</t>
  </si>
  <si>
    <t>Pozzetto di scarico DN 56</t>
  </si>
  <si>
    <t>Écoulement au sol DN 70</t>
  </si>
  <si>
    <t>Pozzetto di scarico DN 70</t>
  </si>
  <si>
    <t>Écoulement au sol DN 100</t>
  </si>
  <si>
    <t>Pozzetto di scarico DN 100</t>
  </si>
  <si>
    <t>Maison individuelle petite taille</t>
  </si>
  <si>
    <t>Casa monofamiliare piccola</t>
  </si>
  <si>
    <t>Maison individuelle moyenne taille</t>
  </si>
  <si>
    <t>Casa monofamiliare media</t>
  </si>
  <si>
    <t>Maison individuelle grande taille</t>
  </si>
  <si>
    <t>Casa monofamiliare grande</t>
  </si>
  <si>
    <t>Logement petite taille</t>
  </si>
  <si>
    <t>Appartamento piccolo</t>
  </si>
  <si>
    <t>Logement moyenne taille</t>
  </si>
  <si>
    <t>Appartamento medio</t>
  </si>
  <si>
    <t>Logement grande taille</t>
  </si>
  <si>
    <t>Appartamento grande</t>
  </si>
  <si>
    <t>Définir la DU manuellement</t>
  </si>
  <si>
    <t>Stabilire manualmente DU</t>
  </si>
  <si>
    <t>Veuillez préciser le fluide</t>
  </si>
  <si>
    <t>Definire il liquido</t>
  </si>
  <si>
    <t>sans matières fécales</t>
  </si>
  <si>
    <t>Senza sostanze fecali</t>
  </si>
  <si>
    <t>avec WC (eaux usées avec matières fécales)</t>
  </si>
  <si>
    <t>Posa mediante calcolo DU</t>
  </si>
  <si>
    <t>Fattore di contemporaneità (valore K)</t>
  </si>
  <si>
    <t>Uso irregolare, ad es. edifici residenziali, pensioni, uffici</t>
  </si>
  <si>
    <t>Utilisation régulière (p. ex. en hôpitaux, écoles, restaurants, hôtels)</t>
  </si>
  <si>
    <t>Uso regolare, ad es. ospedali, scuole, ristoranti, alberghi</t>
  </si>
  <si>
    <t>Uso frequente, ad es. in bagni e/o docce pubbliche</t>
  </si>
  <si>
    <t>Utilisation spécifique (p. ex. laboratoires)</t>
  </si>
  <si>
    <t>Uso speciale, ad es. laboratori</t>
  </si>
  <si>
    <t>Afflusso totale di acque reflue risultante dal calcolo DU:</t>
  </si>
  <si>
    <t>Évacuations individuelles spécifiques en l/s</t>
  </si>
  <si>
    <t>Altri scarichi singoli in l/s</t>
  </si>
  <si>
    <t>Singolo scarico continuo in l/s</t>
  </si>
  <si>
    <t>Scolo dell'acqua piovana singolo in m²</t>
  </si>
  <si>
    <t>Amenée d'eaux usées totale en l/s forfait:</t>
  </si>
  <si>
    <t>Afflusso totale di acque reflue in l/s forfait:</t>
  </si>
  <si>
    <t>Amenée d'eaux usées totale en l/s:</t>
  </si>
  <si>
    <t>Afflusso totale di acque reflue in l/s:</t>
  </si>
  <si>
    <t>Volume utile</t>
  </si>
  <si>
    <t>Volume de réserve</t>
  </si>
  <si>
    <t>Volume di riserva</t>
  </si>
  <si>
    <t>Volume del pozzo in l senza pozzetto</t>
  </si>
  <si>
    <t>Type de conception:</t>
  </si>
  <si>
    <t>Tipo di installazione:</t>
  </si>
  <si>
    <t>BF 11 Installation en milieu humide avec système de couplage</t>
  </si>
  <si>
    <t>BF 11 Installazione in ambiente umido con sistema di raccordo</t>
  </si>
  <si>
    <t>BF 12 Installation en milieu humide avec pied d'appui</t>
  </si>
  <si>
    <t>Scelta della pompa</t>
  </si>
  <si>
    <t>Pompe spéc.</t>
  </si>
  <si>
    <t>Pompa spec.</t>
  </si>
  <si>
    <t>Pozzetto in mm</t>
  </si>
  <si>
    <t>Installation simple</t>
  </si>
  <si>
    <t>Impianto singolo</t>
  </si>
  <si>
    <t>Installation double</t>
  </si>
  <si>
    <t>Impianto doppio</t>
  </si>
  <si>
    <t>Aumento pozzetto in mm</t>
  </si>
  <si>
    <t>mm pozzetto della pompa</t>
  </si>
  <si>
    <t>Attention: aucune amenée permanente!</t>
  </si>
  <si>
    <t>Attenzione nessuna alimentazione continua!</t>
  </si>
  <si>
    <t>Seule un choix possible</t>
  </si>
  <si>
    <t>Solo una selezione possibile</t>
  </si>
  <si>
    <t>Veuillez vérifier la place disponible</t>
  </si>
  <si>
    <t>Verificare lo spazio disponibile</t>
  </si>
  <si>
    <t>Dimension (en mm uniquement):</t>
  </si>
  <si>
    <t>Valutazione (tutte le dimensioni in mm):</t>
  </si>
  <si>
    <t>H Utile</t>
  </si>
  <si>
    <t>H utile</t>
  </si>
  <si>
    <t>H total avec couvercle + sol</t>
  </si>
  <si>
    <t>H totale incl. coperchio + fondo</t>
  </si>
  <si>
    <t>H volume du puisard</t>
  </si>
  <si>
    <t>H volume del pozzetto</t>
  </si>
  <si>
    <t>H volume utile</t>
  </si>
  <si>
    <t>H volume de réserve</t>
  </si>
  <si>
    <t>H volume di riserva</t>
  </si>
  <si>
    <t>Sélection du couvercle:</t>
  </si>
  <si>
    <t>Scelta coperchio:</t>
  </si>
  <si>
    <t>Choisir la fosse:</t>
  </si>
  <si>
    <t>Selezionare pozzo</t>
  </si>
  <si>
    <t>Recouvrement critique de</t>
  </si>
  <si>
    <t>BF 11 double</t>
  </si>
  <si>
    <t>Couvercle trop petit</t>
  </si>
  <si>
    <t>Prolunga pozzo in mm</t>
  </si>
  <si>
    <t>Prolunga pozzo (di</t>
  </si>
  <si>
    <t>Rallonger la fosse jusqu'à l'entrée la plus basse</t>
  </si>
  <si>
    <t>Prolungare il pozzo fino all'entrata inferiore</t>
  </si>
  <si>
    <t>mm jusqu'au segment suivant</t>
  </si>
  <si>
    <t>mm fino al segmento successivo</t>
  </si>
  <si>
    <t>mm allungare</t>
  </si>
  <si>
    <t>Légende:</t>
  </si>
  <si>
    <t>Legenda:</t>
  </si>
  <si>
    <t>VR: volume di riserva</t>
  </si>
  <si>
    <t>VN: volume utile</t>
  </si>
  <si>
    <t>SU: pozzetto della pompa</t>
  </si>
  <si>
    <t>Toutes les dimensions</t>
  </si>
  <si>
    <t>Tutte le dimensioni</t>
  </si>
  <si>
    <t>en mm:</t>
  </si>
  <si>
    <t>Posa diretta</t>
  </si>
  <si>
    <t>Résultat</t>
  </si>
  <si>
    <t>Risultato</t>
  </si>
  <si>
    <t>Volume en l</t>
  </si>
  <si>
    <t>Volume in L</t>
  </si>
  <si>
    <t>BF12 non recommandé</t>
  </si>
  <si>
    <t>BF 12 non consigliabile</t>
  </si>
  <si>
    <t>Bord supérieur fosse</t>
  </si>
  <si>
    <t>Pozzo BS</t>
  </si>
  <si>
    <t>Entrée la plus basse</t>
  </si>
  <si>
    <t>Entrata inferiore</t>
  </si>
  <si>
    <t>Bord inférieur fosse</t>
  </si>
  <si>
    <t>UK pozzo</t>
  </si>
  <si>
    <t>Segment suivant</t>
  </si>
  <si>
    <t>segmento successivo</t>
  </si>
  <si>
    <t>Bord supérieur Terrain</t>
  </si>
  <si>
    <t>Terreno BS</t>
  </si>
  <si>
    <t>Appareil le plus bas</t>
  </si>
  <si>
    <t>Apparecchio inferiore</t>
  </si>
  <si>
    <t>incl. WC (acque reflue cont. sostanza fecali)</t>
  </si>
  <si>
    <t>BF 12 Installazione in ambiente umido con piede di appoggio</t>
  </si>
  <si>
    <t>Klosettanlage bis 7.5 l Spülwassermenge</t>
  </si>
  <si>
    <t>Gruppo vaso a sedere fino a 7.5 l di acqua di risciacquo</t>
  </si>
  <si>
    <t>Begrünte Fläche Aufbaudicke</t>
  </si>
  <si>
    <t>mit sickerfähiger Belag (0.6)</t>
  </si>
  <si>
    <t>Gesamtabwasserzufluss aus DU Berechung:</t>
  </si>
  <si>
    <t>H Gesamt inkl. Deckel + Boden</t>
  </si>
  <si>
    <t>Nbre</t>
  </si>
  <si>
    <t>Lave-vaisselle pour particuliers</t>
  </si>
  <si>
    <t>Lave-vaisselle industrie</t>
  </si>
  <si>
    <t>Dimensionnement par la calcul DU</t>
  </si>
  <si>
    <t>Utilisation fréquente (p. ex. en toilettes et/ou douches publiques)</t>
  </si>
  <si>
    <t>Schmutzwasseranfall aus DU Berechung (in l/s):</t>
  </si>
  <si>
    <t>Calcul de la quantité d`eaux usées (l/s)</t>
  </si>
  <si>
    <t>Afflusso di acque cariche risultante dal calcolo DU (l/s):</t>
  </si>
  <si>
    <t>Évacuation permanente en l/s</t>
  </si>
  <si>
    <t>Évacuation de l'eau de pluie en m²</t>
  </si>
  <si>
    <t>von der mittleren Regenmenge abweichender Wert in l/sm2</t>
  </si>
  <si>
    <t>Mittlere Regenmenge (CH 0.03 l/sm²)</t>
  </si>
  <si>
    <t>Quantité de pluie moyenne (CH 0,03 l/sm²)</t>
  </si>
  <si>
    <t>Quantità media di pioggia (CH 0,03 l/sm²)</t>
  </si>
  <si>
    <t>valore divergente dalla quantità media di pioggia in l/sm²</t>
  </si>
  <si>
    <t xml:space="preserve">de la valeur divergente de la quantité de pluie moyenne en l/sm² </t>
  </si>
  <si>
    <t>Place et chemin</t>
  </si>
  <si>
    <t>épaisseur de la surface verte</t>
  </si>
  <si>
    <t>BF 11 impossible</t>
  </si>
  <si>
    <t>Dimensionnement directe</t>
  </si>
  <si>
    <t>Détail dim. direct (option)</t>
  </si>
  <si>
    <t>Sélection de pompes et définition du puisard</t>
  </si>
  <si>
    <t>Nur eine Auswahl möglich</t>
  </si>
  <si>
    <t xml:space="preserve">Fosse trop haute de </t>
  </si>
  <si>
    <t xml:space="preserve">Sovrapposizione pericolosa di </t>
  </si>
  <si>
    <t xml:space="preserve">Recouvrement critique de </t>
  </si>
  <si>
    <t xml:space="preserve">Pozzo troppo basso altezza min BF11 non raggiunta per </t>
  </si>
  <si>
    <t xml:space="preserve">Pozzo troppo basso altezza min BF12  non raggiunta per </t>
  </si>
  <si>
    <t xml:space="preserve">Pozzo troppo alto di </t>
  </si>
  <si>
    <t xml:space="preserve">Fosse trop courte hauteur min. BF11 dépassée de </t>
  </si>
  <si>
    <t xml:space="preserve">Fosse trop courte hauteur min. BF12 dépassée de </t>
  </si>
  <si>
    <t>Fosse trop courte hauteur min. BF11 dépassée de</t>
  </si>
  <si>
    <t xml:space="preserve">Rallongement de fosse en mm </t>
  </si>
  <si>
    <t xml:space="preserve">Rallonge de fosse (de </t>
  </si>
  <si>
    <t>Urinoir sans eau</t>
  </si>
  <si>
    <t>Urinoir collectif par personne</t>
  </si>
  <si>
    <t>Lavabo, lave-main</t>
  </si>
  <si>
    <t>Urinoir à rinçage direct</t>
  </si>
  <si>
    <t>Utilisation irrégulière (p. ex. habitations, pensions , bureaux)</t>
  </si>
  <si>
    <t>WC, avec chasse de 7.5 l</t>
  </si>
  <si>
    <t>WC, avec chasse de 9 l</t>
  </si>
  <si>
    <t>Coefficient de simultanéité (valeur K)</t>
  </si>
  <si>
    <t xml:space="preserve">Hauteur requise dépassée </t>
  </si>
  <si>
    <t xml:space="preserve">Entrée inférieure au volume utile </t>
  </si>
  <si>
    <t xml:space="preserve">Les pompes à matières fécales ne correspondent pas </t>
  </si>
  <si>
    <t xml:space="preserve">Le volume de réserve ne convient pas à la hauteur totale indiquée </t>
  </si>
  <si>
    <t xml:space="preserve">impossible </t>
  </si>
  <si>
    <t xml:space="preserve">Pompe trop grande </t>
  </si>
  <si>
    <t xml:space="preserve"> impossible </t>
  </si>
  <si>
    <t xml:space="preserve">, conduite d'aspiration DN impossible </t>
  </si>
  <si>
    <t xml:space="preserve">BF 12 impossible </t>
  </si>
  <si>
    <t xml:space="preserve">Conduite d'aspiration DN 150 impossible </t>
  </si>
  <si>
    <t xml:space="preserve">Installation double impossible </t>
  </si>
  <si>
    <t xml:space="preserve">Conduite d'aspiration DN 100 impossible </t>
  </si>
  <si>
    <t xml:space="preserve">Veuillez demander </t>
  </si>
  <si>
    <t xml:space="preserve">Pompe DN 150 impossible </t>
  </si>
  <si>
    <t xml:space="preserve">Surface trop grande </t>
  </si>
  <si>
    <t xml:space="preserve">Pompe pour installation double trop grande </t>
  </si>
  <si>
    <t xml:space="preserve">Couvercle trop petit </t>
  </si>
  <si>
    <t xml:space="preserve">Pompe pour installation double trop grande, vérifier dimension </t>
  </si>
  <si>
    <t>VRes: Volume de réserve</t>
  </si>
  <si>
    <t>VN: Volume utile</t>
  </si>
  <si>
    <t>Vsu: Volume de securité</t>
  </si>
  <si>
    <t>Dopple</t>
  </si>
  <si>
    <t xml:space="preserve">einzel </t>
  </si>
  <si>
    <t>geht nicht</t>
  </si>
  <si>
    <t>non funziona</t>
  </si>
  <si>
    <t>fonctionne pas</t>
  </si>
  <si>
    <t xml:space="preserve">Min. Bauhöhe Druckleitung unterschritten Schacht um </t>
  </si>
  <si>
    <t xml:space="preserve">mit RV Schacht um </t>
  </si>
  <si>
    <t xml:space="preserve">mit Armaturen Schacht um </t>
  </si>
  <si>
    <t xml:space="preserve">Indicazione di altezza superata </t>
  </si>
  <si>
    <t xml:space="preserve">Entrata al di sotto del volume utile </t>
  </si>
  <si>
    <t xml:space="preserve">Le pompe per sostanze fecali non vanno bene </t>
  </si>
  <si>
    <t xml:space="preserve">Non c'è spazio per il volume di riserva nell'altezza totale indicata </t>
  </si>
  <si>
    <t xml:space="preserve"> impossibile </t>
  </si>
  <si>
    <t xml:space="preserve">Pompa troppo grande </t>
  </si>
  <si>
    <t xml:space="preserve">BF 12 non possibile </t>
  </si>
  <si>
    <t xml:space="preserve">Condotto di mandata DN 100 non possibile </t>
  </si>
  <si>
    <t xml:space="preserve">Pozzo troppo basso altezza min BF12 non raggiunta per </t>
  </si>
  <si>
    <t xml:space="preserve">Condotto di mandata DN 150 non possibile </t>
  </si>
  <si>
    <t xml:space="preserve">Impianto doppio non possibile </t>
  </si>
  <si>
    <t xml:space="preserve">Pompa DN 150 non possibile </t>
  </si>
  <si>
    <t xml:space="preserve">Informarsi </t>
  </si>
  <si>
    <t xml:space="preserve">BF 11 doppio </t>
  </si>
  <si>
    <t xml:space="preserve">Coperchio troppo piccolo </t>
  </si>
  <si>
    <t xml:space="preserve">Superficie troppo grande </t>
  </si>
  <si>
    <t xml:space="preserve">Pompa per impianto doppio troppo grande </t>
  </si>
  <si>
    <t xml:space="preserve">Pompa per impianto doppio troppo grande, rispettare le dimensioni </t>
  </si>
  <si>
    <t xml:space="preserve"> mm</t>
  </si>
  <si>
    <t xml:space="preserve">avec robinet rallonger la fosse de </t>
  </si>
  <si>
    <t xml:space="preserve">avec clapet anti-retour rallonger la fosse de </t>
  </si>
  <si>
    <t xml:space="preserve">H. min d'inst. au-dessous de la conduite de ref. rallonger la fosse de </t>
  </si>
  <si>
    <t xml:space="preserve">quotatura piano </t>
  </si>
  <si>
    <t xml:space="preserve">Cote du plan </t>
  </si>
  <si>
    <t>Plankote</t>
  </si>
  <si>
    <t>Vol. séc en mm</t>
  </si>
  <si>
    <t>Vol. sécurité en mm</t>
  </si>
  <si>
    <t>Augmenter le vol. sécurité en mm</t>
  </si>
  <si>
    <t>Volume de fosse en l sans volume de sécurité</t>
  </si>
  <si>
    <t>Ausertung Wahrheit für Pumpen:</t>
  </si>
  <si>
    <t>Posti e vie</t>
  </si>
  <si>
    <t>Copertura verde spessore strutturale</t>
  </si>
  <si>
    <t>Posa diretta dettagli (opzionale)</t>
  </si>
  <si>
    <t>BF11 non possibile</t>
  </si>
  <si>
    <t>Con pozzo RV di</t>
  </si>
  <si>
    <t>Con rubinetterie pozzo di</t>
  </si>
  <si>
    <t>Altezza di montaggio min. condotto di mandata Pozzo non raggiunto di</t>
  </si>
  <si>
    <t>PDL</t>
  </si>
  <si>
    <t>U. Apparat</t>
  </si>
  <si>
    <t>Max. h</t>
  </si>
  <si>
    <t>Konvertierung m in mm</t>
  </si>
  <si>
    <t>PDL Schachts.</t>
  </si>
  <si>
    <t>in. Schachts.</t>
  </si>
  <si>
    <t xml:space="preserve">anpassen </t>
  </si>
  <si>
    <t>Einlauf 3</t>
  </si>
  <si>
    <t>Einlauf 4</t>
  </si>
  <si>
    <t>Einlauf 5</t>
  </si>
  <si>
    <t>Einlauf 6</t>
  </si>
  <si>
    <t>Einlauf 7</t>
  </si>
  <si>
    <t>Einlauf 8</t>
  </si>
  <si>
    <t>Einlauf 2</t>
  </si>
  <si>
    <t xml:space="preserve">Sverweis Schachtauswahl: </t>
  </si>
  <si>
    <t>Artikel Bezeichnung</t>
  </si>
  <si>
    <t>Art. Nr</t>
  </si>
  <si>
    <t>21 2755 0100</t>
  </si>
  <si>
    <t>21 2755 0200</t>
  </si>
  <si>
    <t>21 2755 0300</t>
  </si>
  <si>
    <t>21 2755 0400</t>
  </si>
  <si>
    <t>21 2755 0500</t>
  </si>
  <si>
    <t>21 2755 0600</t>
  </si>
  <si>
    <t>21 2755 0700</t>
  </si>
  <si>
    <t>21 2755 0800</t>
  </si>
  <si>
    <t>21 2755 0900</t>
  </si>
  <si>
    <t>21 2755 1000</t>
  </si>
  <si>
    <t>21 2755 1100</t>
  </si>
  <si>
    <t>21 2755 1200</t>
  </si>
  <si>
    <t>21 2755 1300</t>
  </si>
  <si>
    <t>21 2755 1400</t>
  </si>
  <si>
    <t>21 2755 1500</t>
  </si>
  <si>
    <t>21 2755 1600</t>
  </si>
  <si>
    <t>keine</t>
  </si>
  <si>
    <t>21 2755 2000</t>
  </si>
  <si>
    <t>21 2755 2100</t>
  </si>
  <si>
    <t>21 2755 2200</t>
  </si>
  <si>
    <t>21 2755 2300</t>
  </si>
  <si>
    <t>21 2755 2400</t>
  </si>
  <si>
    <t>21 2755 2500</t>
  </si>
  <si>
    <t>21 2755 3000</t>
  </si>
  <si>
    <t>21 2755 3100</t>
  </si>
  <si>
    <t>21 2755 3200</t>
  </si>
  <si>
    <t>21 2755 3300</t>
  </si>
  <si>
    <t>21 2755 3400</t>
  </si>
  <si>
    <t>21 2755 3500</t>
  </si>
  <si>
    <t>21 2755 4000</t>
  </si>
  <si>
    <t>21 2755 4100</t>
  </si>
  <si>
    <t>21 2755 4200</t>
  </si>
  <si>
    <t>21 2755 4300</t>
  </si>
  <si>
    <t>21 2755 4400</t>
  </si>
  <si>
    <t>21 2755 4500</t>
  </si>
  <si>
    <t>21 2755 7000</t>
  </si>
  <si>
    <t>21 2755 7100</t>
  </si>
  <si>
    <t>21 2755 7200</t>
  </si>
  <si>
    <t>21 2755 7300</t>
  </si>
  <si>
    <t>21 2755 7400</t>
  </si>
  <si>
    <t>21 2755 7500</t>
  </si>
  <si>
    <t>21 2755 5000</t>
  </si>
  <si>
    <t>21 2755 5100</t>
  </si>
  <si>
    <t>21 2755 5200</t>
  </si>
  <si>
    <t>21 2755 5300</t>
  </si>
  <si>
    <t>21 2755 5400</t>
  </si>
  <si>
    <t>21 2755 5500</t>
  </si>
  <si>
    <t>21 2755 6000</t>
  </si>
  <si>
    <t>21 2755 6100</t>
  </si>
  <si>
    <t>21 2755 6200</t>
  </si>
  <si>
    <t>21 2755 6300</t>
  </si>
  <si>
    <t>21 2755 6400</t>
  </si>
  <si>
    <t>21 2755 6500</t>
  </si>
  <si>
    <t>21 2755 2600</t>
  </si>
  <si>
    <t>21 2755 2700</t>
  </si>
  <si>
    <t>21 2755 2800</t>
  </si>
  <si>
    <t>21 2755 5600</t>
  </si>
  <si>
    <t>21 2755 5700</t>
  </si>
  <si>
    <t>21 2755 5800</t>
  </si>
  <si>
    <t>21 2755 6600</t>
  </si>
  <si>
    <t>21 2755 6700</t>
  </si>
  <si>
    <t>21 2755 6800</t>
  </si>
  <si>
    <t>Auswertung EL Rohr</t>
  </si>
  <si>
    <t>Total</t>
  </si>
  <si>
    <t>Schachtwarheit:</t>
  </si>
  <si>
    <t>d</t>
  </si>
  <si>
    <t>U</t>
  </si>
  <si>
    <t>Einlauf 1</t>
  </si>
  <si>
    <t>EL Rohr</t>
  </si>
  <si>
    <t>Pos in °</t>
  </si>
  <si>
    <t>x kordinate</t>
  </si>
  <si>
    <t>y koordinate</t>
  </si>
  <si>
    <t>Gesamthöhe Schacht</t>
  </si>
  <si>
    <t>Sohlenhöhe</t>
  </si>
  <si>
    <t>Abstand y</t>
  </si>
  <si>
    <t>Abstand x</t>
  </si>
  <si>
    <t>Vergleich</t>
  </si>
  <si>
    <t>Betrag Abstand y</t>
  </si>
  <si>
    <t>Betrag Abstand x</t>
  </si>
  <si>
    <t>Hypothenuse</t>
  </si>
  <si>
    <t>Radius incl Schweisszuschlag</t>
  </si>
  <si>
    <t>Pdl</t>
  </si>
  <si>
    <t>PDL:</t>
  </si>
  <si>
    <t>Abstand entl. Hypoth.</t>
  </si>
  <si>
    <t>Ausgefüllt?</t>
  </si>
  <si>
    <t>Beide involvierten ausgefüllt?</t>
  </si>
  <si>
    <t>Einlauffreie Zone</t>
  </si>
  <si>
    <t>Einlauffreie Zone:</t>
  </si>
  <si>
    <t>Doppelpumpenverlsatz PDL</t>
  </si>
  <si>
    <t>mm</t>
  </si>
  <si>
    <t>NSZD DN 1250</t>
  </si>
  <si>
    <t>PDL2</t>
  </si>
  <si>
    <t>Winkel DL Doppel</t>
  </si>
  <si>
    <t>min Mass</t>
  </si>
  <si>
    <t>TopLine 40 / 50</t>
  </si>
  <si>
    <t>Auswertung FPS 1000 doppel</t>
  </si>
  <si>
    <t>Schweisszuschlag bis DN 125</t>
  </si>
  <si>
    <t>Schweisszuschlag bis DN 200</t>
  </si>
  <si>
    <t xml:space="preserve">Dropdown </t>
  </si>
  <si>
    <t>Kollision? (1=Kollision)</t>
  </si>
  <si>
    <t>Kollisionen</t>
  </si>
  <si>
    <t>Kollisionen aufgereiht</t>
  </si>
  <si>
    <t>aufwärts zählen</t>
  </si>
  <si>
    <t>Schacht für Anfrage konfigurieren</t>
  </si>
  <si>
    <t>Armaturen:</t>
  </si>
  <si>
    <t>Armaturen innerhalb</t>
  </si>
  <si>
    <t>Rückschlagventil innerhalb</t>
  </si>
  <si>
    <t>ohne Armaturen</t>
  </si>
  <si>
    <t>Ein 1:</t>
  </si>
  <si>
    <t>Alarm:</t>
  </si>
  <si>
    <t>VN=</t>
  </si>
  <si>
    <t>Schaltniveaus von Schachtboden:</t>
  </si>
  <si>
    <t>Pumpe:</t>
  </si>
  <si>
    <t xml:space="preserve">FMX 50-98 FMX 50-135 </t>
  </si>
  <si>
    <r>
      <t xml:space="preserve">Einlauf 1  </t>
    </r>
    <r>
      <rPr>
        <b/>
        <sz val="11"/>
        <color theme="1"/>
        <rFont val="Calibri"/>
        <family val="2"/>
        <scheme val="minor"/>
      </rPr>
      <t xml:space="preserve">(unterster Einlauf) </t>
    </r>
    <r>
      <rPr>
        <sz val="11"/>
        <color theme="1"/>
        <rFont val="Calibri"/>
        <family val="2"/>
        <scheme val="minor"/>
      </rPr>
      <t xml:space="preserve">  </t>
    </r>
  </si>
  <si>
    <t>Fxx</t>
  </si>
  <si>
    <t>"  "</t>
  </si>
  <si>
    <t>Verkettung für Schachtauswahl:</t>
  </si>
  <si>
    <t xml:space="preserve">Segment umrechnung: </t>
  </si>
  <si>
    <t>TopLine_40-50</t>
  </si>
  <si>
    <t>TopLine_65</t>
  </si>
  <si>
    <t>Fxx_100</t>
  </si>
  <si>
    <t>Fxx_150</t>
  </si>
  <si>
    <t xml:space="preserve">H Zeichnung okd: </t>
  </si>
  <si>
    <t>H Zeichnung ukd</t>
  </si>
  <si>
    <t>Auswertung welche Segment h bei FPS</t>
  </si>
  <si>
    <t>Bauform</t>
  </si>
  <si>
    <t xml:space="preserve">Gewählter Schachttyp: </t>
  </si>
  <si>
    <t>Artikel Nr:</t>
  </si>
  <si>
    <t>2.0</t>
  </si>
  <si>
    <t>3.0</t>
  </si>
  <si>
    <t>Resultat für Schachtanfrage</t>
  </si>
  <si>
    <t>Link</t>
  </si>
  <si>
    <t>CAD-Datei</t>
  </si>
  <si>
    <t>Aufrunden (250mm)</t>
  </si>
  <si>
    <t xml:space="preserve">Summe </t>
  </si>
  <si>
    <t>Prüfung</t>
  </si>
  <si>
    <t>Segment Wahrheit:</t>
  </si>
  <si>
    <t>DN_600_</t>
  </si>
  <si>
    <t>FPS_800_</t>
  </si>
  <si>
    <t>FPS_1000_</t>
  </si>
  <si>
    <t>NSK_1250_</t>
  </si>
  <si>
    <t>NSZ_1250_</t>
  </si>
  <si>
    <t>NSZ-D_1250_</t>
  </si>
  <si>
    <t>PBS_1500_</t>
  </si>
  <si>
    <t>PBS_2000_</t>
  </si>
  <si>
    <t>Segment FPS suche</t>
  </si>
  <si>
    <t>FXX_80</t>
  </si>
  <si>
    <t>Einzel / Doppeel</t>
  </si>
  <si>
    <t>_1P</t>
  </si>
  <si>
    <t>_63</t>
  </si>
  <si>
    <t>PBS_1500</t>
  </si>
  <si>
    <t>PBS_2000</t>
  </si>
  <si>
    <t>NSK_1250</t>
  </si>
  <si>
    <t>NSZ_1250</t>
  </si>
  <si>
    <t>NSZ-D_1250</t>
  </si>
  <si>
    <t>_2P</t>
  </si>
  <si>
    <t>_75</t>
  </si>
  <si>
    <t>nicht vorhanden</t>
  </si>
  <si>
    <t>2.25</t>
  </si>
  <si>
    <t>2.5</t>
  </si>
  <si>
    <t>Schachtgrösse</t>
  </si>
  <si>
    <t xml:space="preserve">Druckleitung von ok bis s. </t>
  </si>
  <si>
    <t>Dimension</t>
  </si>
  <si>
    <t>Elektro Rohr</t>
  </si>
  <si>
    <t>Grad</t>
  </si>
  <si>
    <t>Höhe</t>
  </si>
  <si>
    <t>Durchmesser</t>
  </si>
  <si>
    <t>E1</t>
  </si>
  <si>
    <t>D</t>
  </si>
  <si>
    <t>E2</t>
  </si>
  <si>
    <t>E3</t>
  </si>
  <si>
    <t>E4</t>
  </si>
  <si>
    <t>E5</t>
  </si>
  <si>
    <t>E6</t>
  </si>
  <si>
    <t>E7</t>
  </si>
  <si>
    <t>E8</t>
  </si>
  <si>
    <t xml:space="preserve">Konfiblatt: </t>
  </si>
  <si>
    <t>Code zur Datenübertragung ins Konfiblatt</t>
  </si>
  <si>
    <t>Schachtlänge</t>
  </si>
  <si>
    <t>2=pos und Null</t>
  </si>
  <si>
    <t>1= negativ</t>
  </si>
  <si>
    <t>Ganze</t>
  </si>
  <si>
    <t>Dezimale</t>
  </si>
  <si>
    <t>Kotte OK Deckel ganze</t>
  </si>
  <si>
    <t>Kotte OK Deckel dezimale</t>
  </si>
  <si>
    <t xml:space="preserve">Min Mass </t>
  </si>
  <si>
    <t xml:space="preserve">Elektroleerrohr      </t>
  </si>
  <si>
    <t xml:space="preserve"> BF 12 nicht möglich </t>
  </si>
  <si>
    <t xml:space="preserve"> Doppel Anlage nicht möglich</t>
  </si>
  <si>
    <t xml:space="preserve"> Fläche zu gross </t>
  </si>
  <si>
    <t xml:space="preserve">Höhenvorgabe überschritten </t>
  </si>
  <si>
    <t xml:space="preserve">Einlauf unterhalb Nutzvolumen </t>
  </si>
  <si>
    <t xml:space="preserve">Fäkalienpumpen gehen nicht </t>
  </si>
  <si>
    <t xml:space="preserve">Reservevolumen hat nicht Platz in angegebener Gesamthöhe </t>
  </si>
  <si>
    <t xml:space="preserve">nicht möglich </t>
  </si>
  <si>
    <t xml:space="preserve">Pumpe zu gross </t>
  </si>
  <si>
    <t xml:space="preserve">DN 100 Druckleitung nicht möglich </t>
  </si>
  <si>
    <t xml:space="preserve">DN 150 Pumpe nicht möglich </t>
  </si>
  <si>
    <t xml:space="preserve">Doppel Anlage nicht möglich </t>
  </si>
  <si>
    <t xml:space="preserve">Fläche zu gross </t>
  </si>
  <si>
    <t xml:space="preserve">Pumpe für Doppelanlage zu gross </t>
  </si>
  <si>
    <t xml:space="preserve">Pumpe für Doppelanlage zu gross, Masse beachten </t>
  </si>
  <si>
    <t xml:space="preserve">Deckel zu klein </t>
  </si>
  <si>
    <t xml:space="preserve">BF 11 einzeln </t>
  </si>
  <si>
    <t xml:space="preserve">BF 11 simple </t>
  </si>
  <si>
    <t xml:space="preserve">BF 11 singolo </t>
  </si>
  <si>
    <t xml:space="preserve">BF 11 doppel </t>
  </si>
  <si>
    <t xml:space="preserve">BF 11 double </t>
  </si>
  <si>
    <t xml:space="preserve">BF 11 doppione </t>
  </si>
  <si>
    <t xml:space="preserve">BF 12 einzeln </t>
  </si>
  <si>
    <t xml:space="preserve">BF 12 simple </t>
  </si>
  <si>
    <t xml:space="preserve">BF 12 singolo </t>
  </si>
  <si>
    <t xml:space="preserve">BF 12 doppel </t>
  </si>
  <si>
    <t xml:space="preserve">BF 12 double </t>
  </si>
  <si>
    <t xml:space="preserve">BF 12 doppione </t>
  </si>
  <si>
    <t>FMX_II</t>
  </si>
  <si>
    <t>FMX I</t>
  </si>
  <si>
    <t>FMX_III</t>
  </si>
  <si>
    <t xml:space="preserve"> </t>
  </si>
  <si>
    <t>CAD F1/F2/F3</t>
  </si>
  <si>
    <t>FPS_1000_1.75_63_BF_11_F1</t>
  </si>
  <si>
    <t>FPS_1000_2.0_63_BF_11_F1</t>
  </si>
  <si>
    <t>FPS_1000_2.25_63_BF_11_F1</t>
  </si>
  <si>
    <t>FPS_1000_2.5_63_BF_11_F1</t>
  </si>
  <si>
    <t>FPS_1000_2.75_63_BF_11_F1</t>
  </si>
  <si>
    <t>FPS_1000_3.0_63_BF_11_F1</t>
  </si>
  <si>
    <t>FPS_1000_1.75_63_BF_12_F1</t>
  </si>
  <si>
    <t>FPS_1000_2.0_63_BF_12_F1</t>
  </si>
  <si>
    <t>FPS_1000_2.25_63_BF_12_F1</t>
  </si>
  <si>
    <t>FPS_1000_2.5_63_BF_12_F1</t>
  </si>
  <si>
    <t>FPS_1000_2.75_63_BF_12_F1</t>
  </si>
  <si>
    <t>FPS_1000_3.0_63_BF_12_F1</t>
  </si>
  <si>
    <t>FPS_1000_1.75_75_BF_11_F1</t>
  </si>
  <si>
    <t>FPS_1000_2.0_75_BF_11_F1</t>
  </si>
  <si>
    <t>FPS_1000_2.25_75_BF_11_F1</t>
  </si>
  <si>
    <t>FPS_1000_2.5_75_BF_11_F1</t>
  </si>
  <si>
    <t>FPS_1000_2.75_75_BF_11_F1</t>
  </si>
  <si>
    <t>FPS_1000_3.0_75_BF_11_F1</t>
  </si>
  <si>
    <t>FPS_1000_1.75_75_BF_12_F1</t>
  </si>
  <si>
    <t>FPS_1000_2.0_75_BF_12_F1</t>
  </si>
  <si>
    <t>FPS_1000_2.25_75_BF_12_F1</t>
  </si>
  <si>
    <t>FPS_1000_2.5_75_BF_12_F1</t>
  </si>
  <si>
    <t>FPS_1000_2.75_75_BF_12_F1</t>
  </si>
  <si>
    <t>FPS_1000_3.0_75_BF_12_F1</t>
  </si>
  <si>
    <t>FPS_1000_1.75_90_BF_11_F1</t>
  </si>
  <si>
    <t>FPS_1000_2.0_90_BF_11_F1</t>
  </si>
  <si>
    <t>FPS_1000_2.25_90_BF_11_F1</t>
  </si>
  <si>
    <t>FPS_1000_2.5_90_BF_11_F1</t>
  </si>
  <si>
    <t>FPS_1000_2.75_90_BF_11_F1</t>
  </si>
  <si>
    <t>FPS_1000_3.0_90_BF_11_F1</t>
  </si>
  <si>
    <t>FPS_1000_3.25_90_BF_11_F1</t>
  </si>
  <si>
    <t>FPS_1000_3.5_90_BF_11_F1</t>
  </si>
  <si>
    <t>FPS_1000_3.75_90_BF_11_F1</t>
  </si>
  <si>
    <t>FPS_1000_4.0_90_BF_11_F1</t>
  </si>
  <si>
    <t>FPS_1000_4.25_90_BF_11_F1</t>
  </si>
  <si>
    <t>FPS_1000_4.5_90_BF_11_F1</t>
  </si>
  <si>
    <t>FPS_1000_4.75_90_BF_11_F1</t>
  </si>
  <si>
    <t>FPS_1000_5.0_90_BF_11_F1</t>
  </si>
  <si>
    <t>FPS_1000_5.25_90_BF_11_F1</t>
  </si>
  <si>
    <t>FPS_1000_5.5_90_BF_11_F1</t>
  </si>
  <si>
    <t>FPS_1000_1.75_90_BF_11_F2</t>
  </si>
  <si>
    <t>FPS_1000_2.0_90_BF_11_F2</t>
  </si>
  <si>
    <t>FPS_1000_2.25_90_BF_11_F2</t>
  </si>
  <si>
    <t>FPS_1000_2.5_90_BF_11_F2</t>
  </si>
  <si>
    <t>FPS_1000_2.75_90_BF_11_F2</t>
  </si>
  <si>
    <t>FPS_1000_3.0_90_BF_11_F2</t>
  </si>
  <si>
    <t>FPS_1000_3.25_90_BF_11_F2</t>
  </si>
  <si>
    <t>FPS_1000_3.5_90_BF_11_F2</t>
  </si>
  <si>
    <t>FPS_1000_3.75_90_BF_11_F2</t>
  </si>
  <si>
    <t>FPS_1000_4.0_90_BF_11_F2</t>
  </si>
  <si>
    <t>FPS_1000_4.25_90_BF_11_F2</t>
  </si>
  <si>
    <t>FPS_1000_4.5_90_BF_11_F2</t>
  </si>
  <si>
    <t>FPS_1000_4.75_90_BF_11_F2</t>
  </si>
  <si>
    <t>FPS_1000_5.0_90_BF_11_F2</t>
  </si>
  <si>
    <t>FPS_1000_5.25_90_BF_11_F2</t>
  </si>
  <si>
    <t>FPS_1000_5.5_90_BF_11_F2</t>
  </si>
  <si>
    <t>FPS_1000_1.75_75_BF_11_F2</t>
  </si>
  <si>
    <t>FPS_1000_2.0_75_BF_11_F2</t>
  </si>
  <si>
    <t>FPS_1000_2.25_75_BF_11_F2</t>
  </si>
  <si>
    <t>FPS_1000_2.5_75_BF_11_F2</t>
  </si>
  <si>
    <t>FPS_1000_2.75_75_BF_11_F2</t>
  </si>
  <si>
    <t>FPS_1000_3.0_75_BF_11_F2</t>
  </si>
  <si>
    <t>FPS_1000_1.75_75_BF_12_F2</t>
  </si>
  <si>
    <t>FPS_1000_2.0_75_BF_12_F2</t>
  </si>
  <si>
    <t>FPS_1000_2.25_75_BF_12_F2</t>
  </si>
  <si>
    <t>FPS_1000_2.5_75_BF_12_F2</t>
  </si>
  <si>
    <t>FPS_1000_2.75_75_BF_12_F2</t>
  </si>
  <si>
    <t>FPS_1000_3.0_75_BF_12_F2</t>
  </si>
  <si>
    <t>FPS_1000_1.75_63_BF_12_F2</t>
  </si>
  <si>
    <t>FPS_1000_2.0_63_BF_12_F2</t>
  </si>
  <si>
    <t>FPS_1000_2.25_63_BF_12_F2</t>
  </si>
  <si>
    <t>FPS_1000_2.5_63_BF_12_F2</t>
  </si>
  <si>
    <t>FPS_1000_2.75_63_BF_12_F2</t>
  </si>
  <si>
    <t>FPS_1000_3.0_63_BF_12_F2</t>
  </si>
  <si>
    <t>FPS_1000_1.75_63_BF_11_F2</t>
  </si>
  <si>
    <t>FPS_1000_2.0_63_BF_11_F2</t>
  </si>
  <si>
    <t>FPS_1000_2.25_63_BF_11_F2</t>
  </si>
  <si>
    <t>FPS_1000_2.5_63_BF_11_F2</t>
  </si>
  <si>
    <t>FPS_1000_2.75_63_BF_11_F2</t>
  </si>
  <si>
    <t>FPS_1000_3.0_63_BF_11_F2</t>
  </si>
  <si>
    <t>FPS_1000_1.75_63_BF_11_F3</t>
  </si>
  <si>
    <t>FPS_1000_2.0_63_BF_11_F3</t>
  </si>
  <si>
    <t>FPS_1000_2.25_63_BF_11_F3</t>
  </si>
  <si>
    <t>FPS_1000_2.5_63_BF_11_F3</t>
  </si>
  <si>
    <t>FPS_1000_2.75_63_BF_11_F3</t>
  </si>
  <si>
    <t>FPS_1000_3.0_63_BF_11_F3</t>
  </si>
  <si>
    <t>FPS_1000_1.75_63_BF_12_F3</t>
  </si>
  <si>
    <t>FPS_1000_2.0_63_BF_12_F3</t>
  </si>
  <si>
    <t>FPS_1000_2.25_63_BF_12_F3</t>
  </si>
  <si>
    <t>FPS_1000_2.5_63_BF_12_F3</t>
  </si>
  <si>
    <t>FPS_1000_2.75_63_BF_12_F3</t>
  </si>
  <si>
    <t>FPS_1000_3.0_63_BF_12_F3</t>
  </si>
  <si>
    <t>FPS_800_1.5_63_BF_12_F1</t>
  </si>
  <si>
    <t>FPS_800_2.5_63_BF_12_F1</t>
  </si>
  <si>
    <t>FPS_800_1.5_63_BF_12_F2</t>
  </si>
  <si>
    <t>FPS_800_2.5_63_BF_12_F2</t>
  </si>
  <si>
    <t>FPS_800_1.5_63_BF_12_F3</t>
  </si>
  <si>
    <t>FPS_800_2.5_63_BF_12_F3</t>
  </si>
  <si>
    <t>FPS_800_2.0_63_BF_12_F1</t>
  </si>
  <si>
    <t>FPS_800_2.0_63_BF_12_F2</t>
  </si>
  <si>
    <t>FPS_800_2.0_63_BF_12_F3</t>
  </si>
  <si>
    <t>FPS_1000_1.75_75_BF_11_F3</t>
  </si>
  <si>
    <t>FPS_1000_2.0_75_BF_11_F3</t>
  </si>
  <si>
    <t>FPS_1000_2.25_75_BF_11_F3</t>
  </si>
  <si>
    <t>FPS_1000_2.5_75_BF_11_F3</t>
  </si>
  <si>
    <t>FPS_1000_2.75_75_BF_11_F3</t>
  </si>
  <si>
    <t>FPS_1000_3.0_75_BF_11_F3</t>
  </si>
  <si>
    <t>FPS_1000_1.75_75_BF_12_F3</t>
  </si>
  <si>
    <t>FPS_1000_2.0_75_BF_12_F3</t>
  </si>
  <si>
    <t>FPS_1000_2.25_75_BF_12_F3</t>
  </si>
  <si>
    <t>FPS_1000_2.5_75_BF_12_F3</t>
  </si>
  <si>
    <t>FPS_1000_2.75_75_BF_12_F3</t>
  </si>
  <si>
    <t>FPS_1000_3.0_75_BF_12_F3</t>
  </si>
  <si>
    <t>FPS_800_1.5_75_BF_12_F1</t>
  </si>
  <si>
    <t>FPS_800_2.5_75_BF_12_F1</t>
  </si>
  <si>
    <t>FPS_800_1.5_75_BF_12_F2</t>
  </si>
  <si>
    <t>FPS_800_2.5_75_BF_12_F2</t>
  </si>
  <si>
    <t>FPS_800_1.5_75_BF_12_F3</t>
  </si>
  <si>
    <t>FPS_800_2.5_75_BF_12_F3</t>
  </si>
  <si>
    <t>FPS_800_2.0_75_BF_12_F3</t>
  </si>
  <si>
    <t>FPS_800_2.0_75_BF_12_F1</t>
  </si>
  <si>
    <t>FPS_800_2.0_75_BF_12_F2</t>
  </si>
  <si>
    <t>FPS_1000_1.75_90_BF_11_F3</t>
  </si>
  <si>
    <t>FPS_1000_2.0_90_BF_11_F3</t>
  </si>
  <si>
    <t>FPS_1000_2.25_90_BF_11_F3</t>
  </si>
  <si>
    <t>FPS_1000_2.5_90_BF_11_F3</t>
  </si>
  <si>
    <t>FPS_1000_2.75_90_BF_11_F3</t>
  </si>
  <si>
    <t>FPS_1000_3.0_90_BF_11_F3</t>
  </si>
  <si>
    <t>FPS_1000_3.25_90_BF_11_F3</t>
  </si>
  <si>
    <t>FPS_1000_3.5_90_BF_11_F3</t>
  </si>
  <si>
    <t>FPS_1000_3.75_90_BF_11_F3</t>
  </si>
  <si>
    <t>FPS_1000_4.0_90_BF_11_F3</t>
  </si>
  <si>
    <t>FPS_1000_4.25_90_BF_11_F3</t>
  </si>
  <si>
    <t>FPS_1000_4.5_90_BF_11_F3</t>
  </si>
  <si>
    <t>FPS_1000_4.75_90_BF_11_F3</t>
  </si>
  <si>
    <t>FPS_1000_5.0_90_BF_11_F3</t>
  </si>
  <si>
    <t>FPS_1000_5.25_90_BF_11_F3</t>
  </si>
  <si>
    <t>FPS_1000_5.5_90_BF_11_F3</t>
  </si>
  <si>
    <t>kein FPS</t>
  </si>
  <si>
    <t>ist FPS</t>
  </si>
  <si>
    <t>Status</t>
  </si>
  <si>
    <t>CAD Datei</t>
  </si>
  <si>
    <t>in Arbeit</t>
  </si>
  <si>
    <t>FPS_1000_1.75_FXX_80_BF_11_F1_F1</t>
  </si>
  <si>
    <t>FPS_1000_2.0_FXX_80_BF_11_F1</t>
  </si>
  <si>
    <t>FPS_1000_2.25_FXX_80_BF_11_F1</t>
  </si>
  <si>
    <t>FPS_1000_2.5_FXX_80_BF_11_F1</t>
  </si>
  <si>
    <t>FPS_1000_2.75_FXX_80_BF_11_F1</t>
  </si>
  <si>
    <t>FPS_1000_3.0_FXX_80_BF_11_F1</t>
  </si>
  <si>
    <t>FPS_1000_3.25_FXX_80_BF_11_F1</t>
  </si>
  <si>
    <t>FPS_1000_3.5_FXX_80_BF_11_F1</t>
  </si>
  <si>
    <t>FPS_1000_3.75_FXX_80_BF_11_F1</t>
  </si>
  <si>
    <t>FPS_1000_4.0_FXX_80_BF_11_F1</t>
  </si>
  <si>
    <t>FPS_1000_4.25_FXX_80_BF_11_F1</t>
  </si>
  <si>
    <t>FPS_1000_4.5_FXX_80_BF_11_F1</t>
  </si>
  <si>
    <t>FPS_1000_4.75_FXX_80_BF_11_F1</t>
  </si>
  <si>
    <t>FPS_1000_5.0_FXX_80_BF_11_F1</t>
  </si>
  <si>
    <t>FPS_1000_5.25_FXX_80_BF_11_F1</t>
  </si>
  <si>
    <t>FPS_1000_5.5_FXX_80_BF_11_F1</t>
  </si>
  <si>
    <t>FPS_1000_1.75_FSX_BF_12_F1</t>
  </si>
  <si>
    <t>FPS_1000_2.0_FSX_BF_12_F1</t>
  </si>
  <si>
    <t>FPS_1000_2.25_FSX_BF_12_F1</t>
  </si>
  <si>
    <t>FPS_1000_2.5_FSX_BF_12_F1</t>
  </si>
  <si>
    <t>FPS_1000_2.75_FSX_BF_12_F1</t>
  </si>
  <si>
    <t>FPS_1000_3.0_FSX_BF_12_F1</t>
  </si>
  <si>
    <t>FPS_1000_1.75_TopLine_40-50_BF_12_F1</t>
  </si>
  <si>
    <t>FPS_1000_2.0_TopLine_40-50_BF_12_F1</t>
  </si>
  <si>
    <t>FPS_1000_2.25_TopLine_40-50_BF_12_F1</t>
  </si>
  <si>
    <t>FPS_1000_2.5_TopLine_40-50_BF_12_F1</t>
  </si>
  <si>
    <t>FPS_1000_2.75_TopLine_40-50_BF_12_F1</t>
  </si>
  <si>
    <t>FPS_1000_3.0_TopLine_40-50_BF_12_F1</t>
  </si>
  <si>
    <t>FPS_1000_1.75_Birox_BF_12_F1</t>
  </si>
  <si>
    <t>FPS_1000_2.0_Birox_BF_12_F1</t>
  </si>
  <si>
    <t>FPS_1000_2.25_Birox_BF_12_F1</t>
  </si>
  <si>
    <t>FPS_1000_2.5_Birox_BF_12_F1</t>
  </si>
  <si>
    <t>FPS_1000_2.75_Birox_BF_12_F1</t>
  </si>
  <si>
    <t>FPS_1000_3.0_Birox_BF_12_F1</t>
  </si>
  <si>
    <t>FPS_1000_1.75_FMX I_BF_12_F1</t>
  </si>
  <si>
    <t>FPS_1000_2.0_FMX I_BF_12_F1</t>
  </si>
  <si>
    <t>FPS_1000_2.25_FMX I_BF_12_F1</t>
  </si>
  <si>
    <t>FPS_1000_2.5_FMX I_BF_12_F1</t>
  </si>
  <si>
    <t>FPS_1000_2.75_FMX I_BF_12_F1</t>
  </si>
  <si>
    <t>FPS_1000_3.0_FMX I_BF_12_F1</t>
  </si>
  <si>
    <t>FPS_1000_1.75_FMX II_BF_11_F1</t>
  </si>
  <si>
    <t>FPS_1000_2.0_FMX II_BF_11_F1</t>
  </si>
  <si>
    <t>FPS_1000_2.25_FMX II_BF_11_F1</t>
  </si>
  <si>
    <t>FPS_1000_2.5_FMX II_BF_11_F1</t>
  </si>
  <si>
    <t>FPS_1000_2.75_FMX II_BF_11_F1</t>
  </si>
  <si>
    <t>FPS_1000_3.0_FMX II_BF_11_F1</t>
  </si>
  <si>
    <t>FPS_1000_1.75_FMX III_BF_11_F1</t>
  </si>
  <si>
    <t>FPS_1000_2.0_FMX III_BF_11_F1</t>
  </si>
  <si>
    <t>FPS_1000_2.25_FMX III_BF_11_F1</t>
  </si>
  <si>
    <t>FPS_1000_2.5_FMX III_BF_11_F1</t>
  </si>
  <si>
    <t>FPS_1000_2.75_FMX III_BF_11_F1</t>
  </si>
  <si>
    <t>FPS_1000_3.0_FMX III_BF_11_F1</t>
  </si>
  <si>
    <t>FPS_1000_1.75_TopLine_40-50_BF_11_F1</t>
  </si>
  <si>
    <t>FPS_1000_2.0_TopLine_40-50_BF_11_F1</t>
  </si>
  <si>
    <t>FPS_1000_2.25_TopLine_40-50_BF_11_F1</t>
  </si>
  <si>
    <t>FPS_1000_2.5_TopLine_40-50_BF_11_F1</t>
  </si>
  <si>
    <t>FPS_1000_2.75_TopLine_40-50_BF_11_F1</t>
  </si>
  <si>
    <t>FPS_1000_3.0_TopLine_40-50_BF_11_F1</t>
  </si>
  <si>
    <t>FPS_1000_1.75_TopLine_65_BF_11_F1</t>
  </si>
  <si>
    <t>FPS_1000_2.0_TopLine_65_BF_11_F1</t>
  </si>
  <si>
    <t>FPS_1000_2.25_TopLine_65_BF_11_F1</t>
  </si>
  <si>
    <t>FPS_1000_2.5_TopLine_65_BF_11_F1</t>
  </si>
  <si>
    <t>FPS_1000_2.75_TopLine_65_BF_11_F1</t>
  </si>
  <si>
    <t>FPS_1000_3.0_TopLine_65_BF_11_F1</t>
  </si>
  <si>
    <t>FPS_1000_1.75_TopLine_65_BF_12_F1</t>
  </si>
  <si>
    <t>FPS_1000_2.0_TopLine_65_BF_12_F1</t>
  </si>
  <si>
    <t>FPS_1000_2.25_TopLine_65_BF_12_F1</t>
  </si>
  <si>
    <t>FPS_1000_2.5_TopLine_65_BF_12_F1</t>
  </si>
  <si>
    <t>FPS_1000_2.75_TopLine_65_BF_12_F1</t>
  </si>
  <si>
    <t>FPS_1000_3.0_TopLine_65_BF_12_F1</t>
  </si>
  <si>
    <t>FPS_1000_1.75_F1</t>
  </si>
  <si>
    <t>FPS_1000_2.0_F1</t>
  </si>
  <si>
    <t>FPS_1000_2.25_F1</t>
  </si>
  <si>
    <t>FPS_1000_2.5_F1</t>
  </si>
  <si>
    <t>FPS_1000_2.75_F1</t>
  </si>
  <si>
    <t>FPS_1000_3.0_F1</t>
  </si>
  <si>
    <t>FPS_1000_1.75_FXX_80_BF_11_F2</t>
  </si>
  <si>
    <t>FPS_1000_2.0_FXX_80_BF_11_F2</t>
  </si>
  <si>
    <t>FPS_1000_2.25_FXX_80_BF_11_F2</t>
  </si>
  <si>
    <t>FPS_1000_2.5_FXX_80_BF_11_F2</t>
  </si>
  <si>
    <t>FPS_1000_2.75_FXX_80_BF_11_F2</t>
  </si>
  <si>
    <t>FPS_1000_3.0_FXX_80_BF_11_F2</t>
  </si>
  <si>
    <t>FPS_1000_3.25_FXX_80_BF_11_F2</t>
  </si>
  <si>
    <t>FPS_1000_3.5_FXX_80_BF_11_F2</t>
  </si>
  <si>
    <t>FPS_1000_3.75_FXX_80_BF_11_F2</t>
  </si>
  <si>
    <t>FPS_1000_4.0_FXX_80_BF_11_F2</t>
  </si>
  <si>
    <t>FPS_1000_4.25_FXX_80_BF_11_F2</t>
  </si>
  <si>
    <t>FPS_1000_4.5_FXX_80_BF_11_F2</t>
  </si>
  <si>
    <t>FPS_1000_4.75_FXX_80_BF_11_F2</t>
  </si>
  <si>
    <t>FPS_1000_5.0_FXX_80_BF_11_F2</t>
  </si>
  <si>
    <t>FPS_1000_5.25_FXX_80_BF_11_F2</t>
  </si>
  <si>
    <t>FPS_1000_5.5_FXX_80_BF_11_F2</t>
  </si>
  <si>
    <t>FPS_1000_1.75_FSX_BF_12_F2</t>
  </si>
  <si>
    <t>FPS_1000_2.0_FSX_BF_12_F2</t>
  </si>
  <si>
    <t>FPS_1000_2.25_FSX_BF_12_F2</t>
  </si>
  <si>
    <t>FPS_1000_2.5_FSX_BF_12_F2</t>
  </si>
  <si>
    <t>FPS_1000_2.75_FSX_BF_12_F2</t>
  </si>
  <si>
    <t>FPS_1000_3.0_FSX_BF_12_F2</t>
  </si>
  <si>
    <t>FPS_1000_1.75_TopLine_40-50_BF_12_F2</t>
  </si>
  <si>
    <t>FPS_1000_2.0_TopLine_40-50_BF_12_F2</t>
  </si>
  <si>
    <t>FPS_1000_2.25_TopLine_40-50_BF_12_F2</t>
  </si>
  <si>
    <t>FPS_1000_2.5_TopLine_40-50_BF_12_F2</t>
  </si>
  <si>
    <t>FPS_1000_2.75_TopLine_40-50_BF_12_F2</t>
  </si>
  <si>
    <t>FPS_1000_3.0_TopLine_40-50_BF_12_F2</t>
  </si>
  <si>
    <t>FPS_1000_1.75_Birox_BF_12_F2</t>
  </si>
  <si>
    <t>FPS_1000_2.0_Birox_BF_12_F2</t>
  </si>
  <si>
    <t>FPS_1000_2.25_Birox_BF_12_F2</t>
  </si>
  <si>
    <t>FPS_1000_2.5_Birox_BF_12_F2</t>
  </si>
  <si>
    <t>FPS_1000_2.75_Birox_BF_12_F2</t>
  </si>
  <si>
    <t>FPS_1000_3.0_Birox_BF_12_F2</t>
  </si>
  <si>
    <t>FPS_1000_1.75_FMX I_BF_12_F2</t>
  </si>
  <si>
    <t>FPS_1000_2.0_FMX I_BF_12_F2</t>
  </si>
  <si>
    <t>FPS_1000_2.25_FMX I_BF_12_F2</t>
  </si>
  <si>
    <t>FPS_1000_2.5_FMX I_BF_12_F2</t>
  </si>
  <si>
    <t>FPS_1000_2.75_FMX I_BF_12_F2</t>
  </si>
  <si>
    <t>FPS_1000_3.0_FMX I_BF_12_F2</t>
  </si>
  <si>
    <t>FPS_1000_1.75_FMX II_BF_11_F2</t>
  </si>
  <si>
    <t>FPS_1000_2.0_FMX II_BF_11_F2</t>
  </si>
  <si>
    <t>FPS_1000_2.25_FMX II_BF_11_F2</t>
  </si>
  <si>
    <t>FPS_1000_2.5_FMX II_BF_11_F2</t>
  </si>
  <si>
    <t>FPS_1000_2.75_FMX II_BF_11_F2</t>
  </si>
  <si>
    <t>FPS_1000_3.0_FMX II_BF_11_F2</t>
  </si>
  <si>
    <t>FPS_1000_1.75_FMX III_BF_11_F2</t>
  </si>
  <si>
    <t>FPS_1000_2.0_FMX III_BF_11_F2</t>
  </si>
  <si>
    <t>FPS_1000_2.25_FMX III_BF_11_F2</t>
  </si>
  <si>
    <t>FPS_1000_2.5_FMX III_BF_11_F2</t>
  </si>
  <si>
    <t>FPS_1000_2.75_FMX III_BF_11_F2</t>
  </si>
  <si>
    <t>FPS_1000_3.0_FMX III_BF_11_F2</t>
  </si>
  <si>
    <t>FPS_1000_1.75_TopLine_40-50_BF_11_F2</t>
  </si>
  <si>
    <t>FPS_1000_2.0_TopLine_40-50_BF_11_F2</t>
  </si>
  <si>
    <t>FPS_1000_2.25_TopLine_40-50_BF_11_F2</t>
  </si>
  <si>
    <t>FPS_1000_2.5_TopLine_40-50_BF_11_F2</t>
  </si>
  <si>
    <t>FPS_1000_2.75_TopLine_40-50_BF_11_F2</t>
  </si>
  <si>
    <t>FPS_1000_3.0_TopLine_40-50_BF_11_F2</t>
  </si>
  <si>
    <t>FPS_1000_1.75_TopLine_65_BF_11_F2</t>
  </si>
  <si>
    <t>FPS_1000_2.0_TopLine_65_BF_11_F2</t>
  </si>
  <si>
    <t>FPS_1000_2.25_TopLine_65_BF_11_F2</t>
  </si>
  <si>
    <t>FPS_1000_2.5_TopLine_65_BF_11_F2</t>
  </si>
  <si>
    <t>FPS_1000_2.75_TopLine_65_BF_11_F2</t>
  </si>
  <si>
    <t>FPS_1000_3.0_TopLine_65_BF_11_F2</t>
  </si>
  <si>
    <t>FPS_1000_1.75_TopLine_65_BF_12_F2</t>
  </si>
  <si>
    <t>FPS_1000_2.0_TopLine_65_BF_12_F2</t>
  </si>
  <si>
    <t>FPS_1000_2.25_TopLine_65_BF_12_F2</t>
  </si>
  <si>
    <t>FPS_1000_2.5_TopLine_65_BF_12_F2</t>
  </si>
  <si>
    <t>FPS_1000_2.75_TopLine_65_BF_12_F2</t>
  </si>
  <si>
    <t>FPS_1000_3.0_TopLine_65_BF_12_F2</t>
  </si>
  <si>
    <t>FPS_1000_1.75_F2</t>
  </si>
  <si>
    <t>FPS_1000_2.0_F2</t>
  </si>
  <si>
    <t>FPS_1000_2.25_F2</t>
  </si>
  <si>
    <t>FPS_1000_2.5_F2</t>
  </si>
  <si>
    <t>FPS_1000_2.75_F2</t>
  </si>
  <si>
    <t>FPS_1000_3.0_F2</t>
  </si>
  <si>
    <t>FPS_1000_1.75_FXX_80_BF_11_F3</t>
  </si>
  <si>
    <t>FPS_1000_2.0_FXX_80_BF_11_F3</t>
  </si>
  <si>
    <t>FPS_1000_2.25_FXX_80_BF_11_F3</t>
  </si>
  <si>
    <t>FPS_1000_2.5_FXX_80_BF_11_F3</t>
  </si>
  <si>
    <t>FPS_1000_2.75_FXX_80_BF_11_F3</t>
  </si>
  <si>
    <t>FPS_1000_3.0_FXX_80_BF_11_F3</t>
  </si>
  <si>
    <t>FPS_1000_3.25_FXX_80_BF_11_F3</t>
  </si>
  <si>
    <t>FPS_1000_3.5_FXX_80_BF_11_F3</t>
  </si>
  <si>
    <t>FPS_1000_3.75_FXX_80_BF_11_F3</t>
  </si>
  <si>
    <t>FPS_1000_4.0_FXX_80_BF_11_F3</t>
  </si>
  <si>
    <t>FPS_1000_4.25_FXX_80_BF_11_F3</t>
  </si>
  <si>
    <t>FPS_1000_4.5_FXX_80_BF_11_F3</t>
  </si>
  <si>
    <t>FPS_1000_4.75_FXX_80_BF_11_F3</t>
  </si>
  <si>
    <t>FPS_1000_5.0_FXX_80_BF_11_F3</t>
  </si>
  <si>
    <t>FPS_1000_5.25_FXX_80_BF_11_F3</t>
  </si>
  <si>
    <t>FPS_1000_5.5_FXX_80_BF_11_F3</t>
  </si>
  <si>
    <t>FPS_1000_1.75_FSX_BF_12_F3</t>
  </si>
  <si>
    <t>FPS_1000_2.0_FSX_BF_12_F3</t>
  </si>
  <si>
    <t>FPS_1000_2.25_FSX_BF_12_F3</t>
  </si>
  <si>
    <t>FPS_1000_2.5_FSX_BF_12_F3</t>
  </si>
  <si>
    <t>FPS_1000_2.75_FSX_BF_12_F3</t>
  </si>
  <si>
    <t>FPS_1000_3.0_FSX_BF_12_F3</t>
  </si>
  <si>
    <t>FPS_1000_1.75_TopLine_40-50_BF_12_F3</t>
  </si>
  <si>
    <t>FPS_1000_2.0_TopLine_40-50_BF_12_F3</t>
  </si>
  <si>
    <t>FPS_1000_2.25_TopLine_40-50_BF_12_F3</t>
  </si>
  <si>
    <t>FPS_1000_2.5_TopLine_40-50_BF_12_F3</t>
  </si>
  <si>
    <t>FPS_1000_2.75_TopLine_40-50_BF_12_F3</t>
  </si>
  <si>
    <t>FPS_1000_3.0_TopLine_40-50_BF_12_F3</t>
  </si>
  <si>
    <t>FPS_1000_1.75_Birox_BF_12_F3</t>
  </si>
  <si>
    <t>FPS_1000_2.0_Birox_BF_12_F3</t>
  </si>
  <si>
    <t>FPS_1000_2.25_Birox_BF_12_F3</t>
  </si>
  <si>
    <t>FPS_1000_2.5_Birox_BF_12_F3</t>
  </si>
  <si>
    <t>FPS_1000_2.75_Birox_BF_12_F3</t>
  </si>
  <si>
    <t>FPS_1000_3.0_Birox_BF_12_F3</t>
  </si>
  <si>
    <t>FPS_1000_1.75_FMX I_BF_12_F3</t>
  </si>
  <si>
    <t>FPS_1000_2.0_FMX I_BF_12_F3</t>
  </si>
  <si>
    <t>FPS_1000_2.25_FMX I_BF_12_F3</t>
  </si>
  <si>
    <t>FPS_1000_2.5_FMX I_BF_12_F3</t>
  </si>
  <si>
    <t>FPS_1000_2.75_FMX I_BF_12_F3</t>
  </si>
  <si>
    <t>FPS_1000_3.0_FMX I_BF_12_F3</t>
  </si>
  <si>
    <t>FPS_1000_1.75_FMX II_BF_11_F3</t>
  </si>
  <si>
    <t>FPS_1000_2.0_FMX II_BF_11_F3</t>
  </si>
  <si>
    <t>FPS_1000_2.25_FMX II_BF_11_F3</t>
  </si>
  <si>
    <t>FPS_1000_2.5_FMX II_BF_11_F3</t>
  </si>
  <si>
    <t>FPS_1000_2.75_FMX II_BF_11_F3</t>
  </si>
  <si>
    <t>FPS_1000_3.0_FMX II_BF_11_F3</t>
  </si>
  <si>
    <t>FPS_1000_1.75_FMX III_BF_11_F3</t>
  </si>
  <si>
    <t>FPS_1000_2.0_FMX III_BF_11_F3</t>
  </si>
  <si>
    <t>FPS_1000_2.25_FMX III_BF_11_F3</t>
  </si>
  <si>
    <t>FPS_1000_2.5_FMX III_BF_11_F3</t>
  </si>
  <si>
    <t>FPS_1000_2.75_FMX III_BF_11_F3</t>
  </si>
  <si>
    <t>FPS_1000_3.0_FMX III_BF_11_F3</t>
  </si>
  <si>
    <t>FPS_1000_1.75_TopLine_40-50_BF_11_F3</t>
  </si>
  <si>
    <t>FPS_1000_2.0_TopLine_40-50_BF_11_F3</t>
  </si>
  <si>
    <t>FPS_1000_2.25_TopLine_40-50_BF_11_F3</t>
  </si>
  <si>
    <t>FPS_1000_2.5_TopLine_40-50_BF_11_F3</t>
  </si>
  <si>
    <t>FPS_1000_2.75_TopLine_40-50_BF_11_F3</t>
  </si>
  <si>
    <t>FPS_1000_3.0_TopLine_40-50_BF_11_F3</t>
  </si>
  <si>
    <t>FPS_1000_1.75_TopLine_65_BF_11_F3</t>
  </si>
  <si>
    <t>FPS_1000_2.0_TopLine_65_BF_11_F3</t>
  </si>
  <si>
    <t>FPS_1000_2.25_TopLine_65_BF_11_F3</t>
  </si>
  <si>
    <t>FPS_1000_2.5_TopLine_65_BF_11_F3</t>
  </si>
  <si>
    <t>FPS_1000_2.75_TopLine_65_BF_11_F3</t>
  </si>
  <si>
    <t>FPS_1000_3.0_TopLine_65_BF_11_F3</t>
  </si>
  <si>
    <t>FPS_1000_1.75_TopLine_65_BF_12_F3</t>
  </si>
  <si>
    <t>FPS_1000_2.0_TopLine_65_BF_12_F3</t>
  </si>
  <si>
    <t>FPS_1000_2.25_TopLine_65_BF_12_F3</t>
  </si>
  <si>
    <t>FPS_1000_2.5_TopLine_65_BF_12_F3</t>
  </si>
  <si>
    <t>FPS_1000_2.75_TopLine_65_BF_12_F3</t>
  </si>
  <si>
    <t>FPS_1000_3.0_TopLine_65_BF_12_F3</t>
  </si>
  <si>
    <t>FPS_1000_1.75_F3</t>
  </si>
  <si>
    <t>FPS_1000_2.0_F3</t>
  </si>
  <si>
    <t>FPS_1000_2.25_F3</t>
  </si>
  <si>
    <t>FPS_1000_2.5_F3</t>
  </si>
  <si>
    <t>FPS_1000_2.75_F3</t>
  </si>
  <si>
    <t>FPS_1000_3.0_F3</t>
  </si>
  <si>
    <t>FPS_800_1.5_TopLine_40-50_BF_12_F3</t>
  </si>
  <si>
    <t>FPS_800_2.0_TopLine_40-50_BF_12_F3</t>
  </si>
  <si>
    <t>FPS_800_2.5_TopLine_40-50_BF_12_F3</t>
  </si>
  <si>
    <t>FPS_800_1.5_Birox_BF_12_F3</t>
  </si>
  <si>
    <t>FPS_800_2.0_Birox_BF_12_F3</t>
  </si>
  <si>
    <t>FPS_800_2.5_Birox_BF_12_F3</t>
  </si>
  <si>
    <t>FPS_800_1.5_FSX_BF_12_F3</t>
  </si>
  <si>
    <t>FPS_800_2.0_FSX_BF_12_F3</t>
  </si>
  <si>
    <t>FPS_800_2.5_FSX_BF_12_F3</t>
  </si>
  <si>
    <t>FPS_800_1.5_FMX I_BF_12_F3</t>
  </si>
  <si>
    <t>FPS_800_2.0_FMX I_BF_12_F3</t>
  </si>
  <si>
    <t>FPS_800_2.5_FMX I_BF_12_F3</t>
  </si>
  <si>
    <t>FPS_800_1.5_TopLine_65_BF_12_F3</t>
  </si>
  <si>
    <t>FPS_800_2.0_TopLine_65_BF_12_F3</t>
  </si>
  <si>
    <t>FPS_800_2.5_TopLine_65_BF_12_F3</t>
  </si>
  <si>
    <t>FPS_800_1.5_F3</t>
  </si>
  <si>
    <t>FPS_800_2.5_F3</t>
  </si>
  <si>
    <t>FPS_800_1.5_TopLine_40-50_BF_12_F1</t>
  </si>
  <si>
    <t>FPS_800_2.0_TopLine_40-50_BF_12_F1</t>
  </si>
  <si>
    <t>FPS_800_2.5_TopLine_40-50_BF_12_F1</t>
  </si>
  <si>
    <t>FPS_800_1.5_Birox_BF_12_F1</t>
  </si>
  <si>
    <t>FPS_800_2.0_Birox_BF_12_F1</t>
  </si>
  <si>
    <t>FPS_800_2.5_Birox_BF_12_F1</t>
  </si>
  <si>
    <t>FPS_800_1.5_FSX_BF_12_F1</t>
  </si>
  <si>
    <t>FPS_800_2.0_FSX_BF_12_F1</t>
  </si>
  <si>
    <t>FPS_800_2.5_FSX_BF_12_F1</t>
  </si>
  <si>
    <t>FPS_800_1.5_FMX I_BF_12_F1</t>
  </si>
  <si>
    <t>FPS_800_2.0_FMX I_BF_12_F1</t>
  </si>
  <si>
    <t>FPS_800_2.5_FMX I_BF_12_F1</t>
  </si>
  <si>
    <t>FPS_800_1.5_TopLine_65_BF_12_F1</t>
  </si>
  <si>
    <t>FPS_800_2.0_TopLine_65_BF_12_F1</t>
  </si>
  <si>
    <t>FPS_800_2.5_TopLine_65_BF_12_F1</t>
  </si>
  <si>
    <t>FPS_800_1.5_F1</t>
  </si>
  <si>
    <t>FPS_800_2.0_F1</t>
  </si>
  <si>
    <t>FPS_800_2.5_F1</t>
  </si>
  <si>
    <t>FPS_800_1.5_TopLine_40-50_BF_12_F2</t>
  </si>
  <si>
    <t>FPS_800_2.0_TopLine_40-50_BF_12_F2</t>
  </si>
  <si>
    <t>FPS_800_2.5_TopLine_40-50_BF_12_F2</t>
  </si>
  <si>
    <t>FPS_800_1.5_Birox_BF_12_F2</t>
  </si>
  <si>
    <t>FPS_800_2.0_Birox_BF_12_F2</t>
  </si>
  <si>
    <t>FPS_800_2.5_Birox_BF_12_F2</t>
  </si>
  <si>
    <t>FPS_800_1.5_FSX_BF_12_F2</t>
  </si>
  <si>
    <t>FPS_800_2.0_FSX_BF_12_F2</t>
  </si>
  <si>
    <t>FPS_800_2.5_FSX_BF_12_F2</t>
  </si>
  <si>
    <t>FPS_800_1.5_FMX I_BF_12_F2</t>
  </si>
  <si>
    <t>FPS_800_2.0_FMX I_BF_12_F2</t>
  </si>
  <si>
    <t>FPS_800_2.5_FMX I_BF_12_F2</t>
  </si>
  <si>
    <t>FPS_800_1.5_TopLine_65_BF_12_F2</t>
  </si>
  <si>
    <t>FPS_800_2.0_TopLine_65_BF_12_F2</t>
  </si>
  <si>
    <t>FPS_800_2.5_TopLine_65_BF_12_F2</t>
  </si>
  <si>
    <t>FPS_800_1.5_F2</t>
  </si>
  <si>
    <t>FPS_800_2.0_F2</t>
  </si>
  <si>
    <t>FPS_800_2.5_F2</t>
  </si>
  <si>
    <t>FPS_800_2.0._F3</t>
  </si>
  <si>
    <t>FMX 50-160 / 50-187</t>
  </si>
  <si>
    <t>FMX 50-198 / 50-219</t>
  </si>
  <si>
    <t xml:space="preserve">FMX 50-98 / 50-135 </t>
  </si>
  <si>
    <t>FSX  50-155</t>
  </si>
  <si>
    <t>H VN</t>
  </si>
  <si>
    <t>H SU</t>
  </si>
  <si>
    <t>H Alarm</t>
  </si>
  <si>
    <t>H Alarme</t>
  </si>
  <si>
    <t>H Vsu</t>
  </si>
  <si>
    <t>H Vres</t>
  </si>
  <si>
    <t>H Allarme</t>
  </si>
  <si>
    <t>äusserer Kreis</t>
  </si>
  <si>
    <t>radius</t>
  </si>
  <si>
    <t>Zentrumsverschiebung</t>
  </si>
  <si>
    <t>Deckel links</t>
  </si>
  <si>
    <t>Deckel rechts</t>
  </si>
  <si>
    <t>Segment innen</t>
  </si>
  <si>
    <t>Segment aussen</t>
  </si>
  <si>
    <t>Einläufe</t>
  </si>
  <si>
    <t>El Rohr</t>
  </si>
  <si>
    <t>Winkel</t>
  </si>
  <si>
    <t>Wahrheiten Einlauffrei</t>
  </si>
  <si>
    <t>45 bis 315</t>
  </si>
  <si>
    <t>35 bis 325</t>
  </si>
  <si>
    <t>70 bis 290</t>
  </si>
  <si>
    <t>60 bis 300</t>
  </si>
  <si>
    <t>30 bis 330</t>
  </si>
  <si>
    <t>Korrektur</t>
  </si>
  <si>
    <t xml:space="preserve"> +/-</t>
  </si>
  <si>
    <t>Rohr</t>
  </si>
  <si>
    <t>Radius</t>
  </si>
  <si>
    <t>radius [cm]</t>
  </si>
  <si>
    <t>Deckel Ø</t>
  </si>
  <si>
    <t>_90</t>
  </si>
  <si>
    <t>_110</t>
  </si>
  <si>
    <t>Doppel</t>
  </si>
  <si>
    <t>FPS</t>
  </si>
  <si>
    <t>Abstände Doppellöcher</t>
  </si>
  <si>
    <t>NSZ D</t>
  </si>
  <si>
    <t xml:space="preserve">R </t>
  </si>
  <si>
    <t>EL (FPS)</t>
  </si>
  <si>
    <t>EL (NS../PBS)</t>
  </si>
  <si>
    <t>EL:</t>
  </si>
  <si>
    <t>NSZ-D</t>
  </si>
  <si>
    <t>Gerundet</t>
  </si>
  <si>
    <t>Druckleitung 1</t>
  </si>
  <si>
    <t>Druckleitung 2</t>
  </si>
  <si>
    <t>1 PDL</t>
  </si>
  <si>
    <t>2 Pdl</t>
  </si>
  <si>
    <t>Abstand (y)</t>
  </si>
  <si>
    <t>Versatz (x)</t>
  </si>
  <si>
    <t>linksversatz</t>
  </si>
  <si>
    <t>Schacht innen</t>
  </si>
  <si>
    <t>Schacht aussen</t>
  </si>
  <si>
    <t>Wandstärke</t>
  </si>
  <si>
    <t>Winkelabschnitte E 1 bis E 7</t>
  </si>
  <si>
    <t>Schachtanfrage</t>
  </si>
  <si>
    <t>Nicht vorhanden</t>
  </si>
  <si>
    <t>keine Zeichnung vorhanden</t>
  </si>
  <si>
    <t xml:space="preserve">Höhe = </t>
  </si>
  <si>
    <t>Einzelpumpstation</t>
  </si>
  <si>
    <t>Doppelpumpstation</t>
  </si>
  <si>
    <t>zwei Druckleitungen können nicht aus dem Schacht geführt werden</t>
  </si>
  <si>
    <t>I 10</t>
  </si>
  <si>
    <t>D 10</t>
  </si>
  <si>
    <t>K 7</t>
  </si>
  <si>
    <t>2 Druckleitungen aus dem Schacht führen</t>
  </si>
  <si>
    <t>I10</t>
  </si>
  <si>
    <t>D11</t>
  </si>
  <si>
    <t>(Zusammenfürhung der PDL ausserhalb Schacht)</t>
  </si>
  <si>
    <t>I 11</t>
  </si>
  <si>
    <t>D 12</t>
  </si>
  <si>
    <t xml:space="preserve">Druckleitung </t>
  </si>
  <si>
    <t>D12</t>
  </si>
  <si>
    <t>D 13</t>
  </si>
  <si>
    <t>Position :</t>
  </si>
  <si>
    <t>Position in °:</t>
  </si>
  <si>
    <t xml:space="preserve">Sohlenhöhe in mm: </t>
  </si>
  <si>
    <t>D 14</t>
  </si>
  <si>
    <t>DA in mm:</t>
  </si>
  <si>
    <t>D 15</t>
  </si>
  <si>
    <t>D 17</t>
  </si>
  <si>
    <t>I 12</t>
  </si>
  <si>
    <t>Position:</t>
  </si>
  <si>
    <t>I 13</t>
  </si>
  <si>
    <t>Sohlenhöhe:</t>
  </si>
  <si>
    <t>I 14</t>
  </si>
  <si>
    <t>I 15</t>
  </si>
  <si>
    <t>D 19</t>
  </si>
  <si>
    <t>D 20</t>
  </si>
  <si>
    <t>D 21</t>
  </si>
  <si>
    <t>D 22</t>
  </si>
  <si>
    <t>D 23</t>
  </si>
  <si>
    <t>EL Rohr  zu hoch"</t>
  </si>
  <si>
    <t>F 21</t>
  </si>
  <si>
    <t>D 27</t>
  </si>
  <si>
    <t>F 28</t>
  </si>
  <si>
    <t>Einlauf unterhalb unterstem Einlauf</t>
  </si>
  <si>
    <t>F 34</t>
  </si>
  <si>
    <t>A 19</t>
  </si>
  <si>
    <t>A 20</t>
  </si>
  <si>
    <t>A 21</t>
  </si>
  <si>
    <t>A 22</t>
  </si>
  <si>
    <t>A 23</t>
  </si>
  <si>
    <t>A 24</t>
  </si>
  <si>
    <t>A 25</t>
  </si>
  <si>
    <t>A 26</t>
  </si>
  <si>
    <t>A 27</t>
  </si>
  <si>
    <t>A 28</t>
  </si>
  <si>
    <t>A 29</t>
  </si>
  <si>
    <t>Kollision:</t>
  </si>
  <si>
    <t>K 19 bis 68</t>
  </si>
  <si>
    <t>Anfrage</t>
  </si>
  <si>
    <t>D 51</t>
  </si>
  <si>
    <t>D 52</t>
  </si>
  <si>
    <t>D 53</t>
  </si>
  <si>
    <t>D 54</t>
  </si>
  <si>
    <t>D 55</t>
  </si>
  <si>
    <t>D 57</t>
  </si>
  <si>
    <t>D 59</t>
  </si>
  <si>
    <t>E 60</t>
  </si>
  <si>
    <t>D 47</t>
  </si>
  <si>
    <t>Linkauswahl</t>
  </si>
  <si>
    <t>B 46</t>
  </si>
  <si>
    <t>B 47</t>
  </si>
  <si>
    <t>B 48</t>
  </si>
  <si>
    <t>Alle Masse von OK Deckel in mm</t>
  </si>
  <si>
    <t>Einlauffreizone beachten!</t>
  </si>
  <si>
    <t>Einlauf zu hoch</t>
  </si>
  <si>
    <t>Druckleitung zu tief</t>
  </si>
  <si>
    <t xml:space="preserve"> mit </t>
  </si>
  <si>
    <t>Bei Einzelanlage nicht vorhanden</t>
  </si>
  <si>
    <t xml:space="preserve">ACHTUNG Kollision </t>
  </si>
  <si>
    <t>Schacht nicht auf dem Segment</t>
  </si>
  <si>
    <t>Demande de fosse</t>
  </si>
  <si>
    <t>Configurer la fosse pour chaque requête</t>
  </si>
  <si>
    <t xml:space="preserve">Type de fosse choisi : </t>
  </si>
  <si>
    <t>Fichier CAO</t>
  </si>
  <si>
    <t>Réf. art. :</t>
  </si>
  <si>
    <t>néant</t>
  </si>
  <si>
    <t>Non disponible</t>
  </si>
  <si>
    <t>pas de schéma disponible</t>
  </si>
  <si>
    <t xml:space="preserve">Hauteur = </t>
  </si>
  <si>
    <t>Il n'est pas possible de faire sortir deux conduites de refoulement hors de fosse</t>
  </si>
  <si>
    <t>Faire sortir 2 conduites de refoulement hors de la fosse</t>
  </si>
  <si>
    <t>Toutes les cotes du bord supérieur du couvercle en mm</t>
  </si>
  <si>
    <t>(Réunion des conduites de refoulement de la pompe hors de la fosse)</t>
  </si>
  <si>
    <t>Position en ° :</t>
  </si>
  <si>
    <t>Position :</t>
  </si>
  <si>
    <t>Diam. ext. en mm :</t>
  </si>
  <si>
    <t xml:space="preserve">Remarque : </t>
  </si>
  <si>
    <t>Conduite de refoulement 2</t>
  </si>
  <si>
    <t xml:space="preserve">Tube électrique      </t>
  </si>
  <si>
    <t xml:space="preserve">Cote min. </t>
  </si>
  <si>
    <t>Tube électrique trop haut"</t>
  </si>
  <si>
    <t>Non disponible si installation individuelle</t>
  </si>
  <si>
    <t>Conduite de refoulement de la pompe</t>
  </si>
  <si>
    <t>Tube électrique</t>
  </si>
  <si>
    <t>Conduite de refoulement de la pompe 2</t>
  </si>
  <si>
    <t xml:space="preserve"> avec </t>
  </si>
  <si>
    <t>Conduite de refoulement trop basse</t>
  </si>
  <si>
    <t>Niveaux de la fosse à partir du fond de la fosse :</t>
  </si>
  <si>
    <t>Alarme :</t>
  </si>
  <si>
    <t>Pompe :</t>
  </si>
  <si>
    <t xml:space="preserve">Fiche config. : </t>
  </si>
  <si>
    <t>Code de transmission de données vers la fiche config.</t>
  </si>
  <si>
    <t>Armatures :</t>
  </si>
  <si>
    <t>sans armatures</t>
  </si>
  <si>
    <t>Clapet de retenue à l'intérieur</t>
  </si>
  <si>
    <t>Armatures à l'intérieur</t>
  </si>
  <si>
    <t xml:space="preserve">ATTENTION Collision </t>
  </si>
  <si>
    <t>Fosse pas sur le segment</t>
  </si>
  <si>
    <t>Inserimento bordo superiore del coperchio</t>
  </si>
  <si>
    <t>Inserimento quota di progetto (m.s.l.m.)</t>
  </si>
  <si>
    <t>Richiesta pozzo</t>
  </si>
  <si>
    <t>Configurare il pozzo in base alla richiesta</t>
  </si>
  <si>
    <t xml:space="preserve">Tipo di pozzo selezionato: </t>
  </si>
  <si>
    <t>File CAD</t>
  </si>
  <si>
    <t>N. articolo:</t>
  </si>
  <si>
    <t>nessuno</t>
  </si>
  <si>
    <t>non disponibile</t>
  </si>
  <si>
    <t>non è disponibile alcun disegno</t>
  </si>
  <si>
    <t xml:space="preserve">Altezza = </t>
  </si>
  <si>
    <t>Stazione di pompaggio singola</t>
  </si>
  <si>
    <t>Stazione di pompaggio doppia</t>
  </si>
  <si>
    <t>impossibile fare uscire due condotte di mandata dal pozzo</t>
  </si>
  <si>
    <t>fare uscire 2 condotte di mandata dal pozzo</t>
  </si>
  <si>
    <t>Tutte le misure dal bordo superiore coperchio in mm</t>
  </si>
  <si>
    <t>(congiungimento condotta di mandata pompa fuori dal pozzo)</t>
  </si>
  <si>
    <t>Posizione in °:</t>
  </si>
  <si>
    <t xml:space="preserve">Posizione: </t>
  </si>
  <si>
    <t xml:space="preserve">Note:  </t>
  </si>
  <si>
    <t>Condotta di mandata 2</t>
  </si>
  <si>
    <t>Posizione:</t>
  </si>
  <si>
    <t xml:space="preserve">Guaina per cavi elettrici      </t>
  </si>
  <si>
    <t xml:space="preserve">Misura min. </t>
  </si>
  <si>
    <t>Guaina per cavi elettrici troppo alta"</t>
  </si>
  <si>
    <t>Non disponibile per impianti singoli</t>
  </si>
  <si>
    <t>Condotta di mandata pompa</t>
  </si>
  <si>
    <t>Guaina per cavi elettrici</t>
  </si>
  <si>
    <t>Condotta di mandata pompa 2</t>
  </si>
  <si>
    <t xml:space="preserve"> con </t>
  </si>
  <si>
    <t>Condotta di mandata troppo bassa</t>
  </si>
  <si>
    <t>Livelli di commutazione dal fondo del pozzo:</t>
  </si>
  <si>
    <t>On 1:</t>
  </si>
  <si>
    <t>Allarme:</t>
  </si>
  <si>
    <t>Pompa:</t>
  </si>
  <si>
    <t xml:space="preserve">Scheda di configurazione: </t>
  </si>
  <si>
    <t>Codice per il trasferimento dati alla scheda di configurazione</t>
  </si>
  <si>
    <t>Raccordi:</t>
  </si>
  <si>
    <t>senza raccordi</t>
  </si>
  <si>
    <t>Valvola di non ritorno all'interno</t>
  </si>
  <si>
    <t>Raccordi all'interno</t>
  </si>
  <si>
    <t xml:space="preserve">ATTENZIONE collisione </t>
  </si>
  <si>
    <t>Pozzo fuori dal segmento</t>
  </si>
  <si>
    <t>(OKD) Bord sup. du couvercle</t>
  </si>
  <si>
    <t>(UKD) Bord inf. du couvercle</t>
  </si>
  <si>
    <t>(OKD) Oberkannte Deckel</t>
  </si>
  <si>
    <t>(UKD) Unterkannte Deckel</t>
  </si>
  <si>
    <t>(OKD) Bordo sup. coperchio</t>
  </si>
  <si>
    <t>(UKD) Bordo inf. coperchio</t>
  </si>
  <si>
    <t xml:space="preserve">Haut. du fond  mm : </t>
  </si>
  <si>
    <t>Station double pompe</t>
  </si>
  <si>
    <t>Station mono pompe</t>
  </si>
  <si>
    <t>Cond. de refoulement 1</t>
  </si>
  <si>
    <t xml:space="preserve">Cond. de refoulement </t>
  </si>
  <si>
    <t>Cond. di mandata 1</t>
  </si>
  <si>
    <t>Cond. di mandata</t>
  </si>
  <si>
    <t>rechts von Null</t>
  </si>
  <si>
    <t>links von Null</t>
  </si>
  <si>
    <t>droite de zéro</t>
  </si>
  <si>
    <t>gauche de zéro</t>
  </si>
  <si>
    <t>Diam esterno mm:</t>
  </si>
  <si>
    <t xml:space="preserve">Alt. del fondo mm: </t>
  </si>
  <si>
    <t>Alt. del fondo mm:</t>
  </si>
  <si>
    <t xml:space="preserve">a destra dei zero </t>
  </si>
  <si>
    <t>a sinistra dei zero</t>
  </si>
  <si>
    <t xml:space="preserve">Adapter la conduite de refoulement aux </t>
  </si>
  <si>
    <t xml:space="preserve">cotes de plan en m </t>
  </si>
  <si>
    <t xml:space="preserve">Définir le niveau et l'appareil à l'aide des </t>
  </si>
  <si>
    <t>cotes de plan en m</t>
  </si>
  <si>
    <t>Limitation de profondeur de la fosse selon</t>
  </si>
  <si>
    <t xml:space="preserve"> cotes de plan en m (option) </t>
  </si>
  <si>
    <t xml:space="preserve">Adapter l'arrivée la plus basse aux </t>
  </si>
  <si>
    <t>Adeguare la tubazione di mandata alla</t>
  </si>
  <si>
    <t xml:space="preserve"> quota di progetto in m </t>
  </si>
  <si>
    <t xml:space="preserve">Adeguare la bocchetta di entrata più bassa alla </t>
  </si>
  <si>
    <t xml:space="preserve">quota di progetto in m </t>
  </si>
  <si>
    <t xml:space="preserve">Definire livello e apparecchiatura con </t>
  </si>
  <si>
    <t>quota di progetto in m</t>
  </si>
  <si>
    <t xml:space="preserve">Limitazione in profondità del pozzo con </t>
  </si>
  <si>
    <t xml:space="preserve">quota di progetto in m (opzionale) </t>
  </si>
  <si>
    <t>Schachtdurchdringungen werden Bauseits erstellt</t>
  </si>
  <si>
    <t>Nessun disegno disponibile</t>
  </si>
  <si>
    <t xml:space="preserve">le perforazioni del pozzo devono essere eseguite dalla direzione del cantiere </t>
  </si>
  <si>
    <t>Dessin non disponible</t>
  </si>
  <si>
    <t>Perforations à réaliser sur le chantier</t>
  </si>
  <si>
    <t xml:space="preserve">Cond. refoulement (PDL) </t>
  </si>
  <si>
    <t xml:space="preserve">Druckleitung (PDL) </t>
  </si>
  <si>
    <t xml:space="preserve">Cond. di mandata (PDL) </t>
  </si>
  <si>
    <t>Entrata 1</t>
  </si>
  <si>
    <t>Entrata 2</t>
  </si>
  <si>
    <t>Entrata 3</t>
  </si>
  <si>
    <t>Entrata 4</t>
  </si>
  <si>
    <t>Entrata 5</t>
  </si>
  <si>
    <t>Entrata 6</t>
  </si>
  <si>
    <t>Entrata 7</t>
  </si>
  <si>
    <t>Entrata 8</t>
  </si>
  <si>
    <t>En 1:</t>
  </si>
  <si>
    <t>En 2:</t>
  </si>
  <si>
    <t>Ein 2:</t>
  </si>
  <si>
    <t>On 2:</t>
  </si>
  <si>
    <t xml:space="preserve">Aus: </t>
  </si>
  <si>
    <t xml:space="preserve">Hors: </t>
  </si>
  <si>
    <t xml:space="preserve">Off: </t>
  </si>
  <si>
    <t>Entrée 1</t>
  </si>
  <si>
    <t>Entrée 2</t>
  </si>
  <si>
    <t>Entrée 3</t>
  </si>
  <si>
    <t>Entrée 4</t>
  </si>
  <si>
    <t>Entrée 5</t>
  </si>
  <si>
    <t>Entrée 6</t>
  </si>
  <si>
    <t>Entrée 7</t>
  </si>
  <si>
    <t>Entrée 8</t>
  </si>
  <si>
    <t>Entrée des eaux usées à partir du calcul de la DU</t>
  </si>
  <si>
    <t xml:space="preserve">Entrée 1  (entrée la plus basse)   </t>
  </si>
  <si>
    <t xml:space="preserve">Entrata 1  (entrata più bassa)   </t>
  </si>
  <si>
    <t>Entrée sous l'entrée la plus basse</t>
  </si>
  <si>
    <t>Entrata al di sotto di entrata più bassa</t>
  </si>
  <si>
    <t>Zone exempte d'entrée :</t>
  </si>
  <si>
    <t>Zona privadi entrata:</t>
  </si>
  <si>
    <t>Zona priva di entrata!</t>
  </si>
  <si>
    <t>Zones exemptes d'entrée!</t>
  </si>
  <si>
    <t>Donnée du bord supérieur du couvercle</t>
  </si>
  <si>
    <t>Donnée des cotes de plan (m au dessus de la mer)</t>
  </si>
  <si>
    <t>http://www.biral.ch/fileadmin/Media/images/Planungstools/PumpStationSelector_DWG/FPS_1000_2.0_90_BF_11_F1.DWG</t>
  </si>
  <si>
    <t>http://www.biral.ch/fileadmin/Media/images/Planungstools/PumpStationSelector_DWG/</t>
  </si>
  <si>
    <t>FPS 600</t>
  </si>
  <si>
    <t>Schacht gibt es nur in einer höhe</t>
  </si>
  <si>
    <t>Pumpenauswahl nicht möglich</t>
  </si>
  <si>
    <t>29a</t>
  </si>
  <si>
    <t>30a</t>
  </si>
  <si>
    <t>31a</t>
  </si>
  <si>
    <t>32a</t>
  </si>
  <si>
    <t>Deckel Rohr</t>
  </si>
  <si>
    <t>Einzel</t>
  </si>
  <si>
    <t>Wandstärke:</t>
  </si>
  <si>
    <t>33a</t>
  </si>
  <si>
    <t>34a</t>
  </si>
  <si>
    <t xml:space="preserve">Deckel: </t>
  </si>
  <si>
    <t>Deckel zu gross</t>
  </si>
  <si>
    <t>Doppelanlage schacht zu klein Deckel DN 800</t>
  </si>
  <si>
    <t>FPS 600:</t>
  </si>
  <si>
    <t>nur in standard ausführung erhältlich</t>
  </si>
  <si>
    <r>
      <t>Reibungsverlust in Druckleitung (H</t>
    </r>
    <r>
      <rPr>
        <b/>
        <sz val="8"/>
        <color indexed="8"/>
        <rFont val="Arial"/>
        <family val="2"/>
      </rPr>
      <t>VR</t>
    </r>
    <r>
      <rPr>
        <b/>
        <sz val="11"/>
        <color indexed="8"/>
        <rFont val="Arial"/>
        <family val="2"/>
      </rPr>
      <t>)</t>
    </r>
  </si>
  <si>
    <t>Eingaben</t>
  </si>
  <si>
    <t>Resultate</t>
  </si>
  <si>
    <t>Volumenstrom</t>
  </si>
  <si>
    <t>Q</t>
  </si>
  <si>
    <t>[l/s]</t>
  </si>
  <si>
    <t>Reynoldszahl</t>
  </si>
  <si>
    <t>RE</t>
  </si>
  <si>
    <t>[-]</t>
  </si>
  <si>
    <t>Rohrinnendurchmesser</t>
  </si>
  <si>
    <t>DI</t>
  </si>
  <si>
    <t>[m]</t>
  </si>
  <si>
    <t>laminare Strömung</t>
  </si>
  <si>
    <t xml:space="preserve">λ </t>
  </si>
  <si>
    <t>Rohrlänge</t>
  </si>
  <si>
    <t>L</t>
  </si>
  <si>
    <t>turbulent Strömung</t>
  </si>
  <si>
    <t>absolute Rohrrauigkeit</t>
  </si>
  <si>
    <t>k</t>
  </si>
  <si>
    <t>Merker Strömungtyp</t>
  </si>
  <si>
    <t>Medium Viskosität</t>
  </si>
  <si>
    <t>√</t>
  </si>
  <si>
    <t>[10^-6 m2/s]</t>
  </si>
  <si>
    <t>Geschwindigkeit</t>
  </si>
  <si>
    <t>v</t>
  </si>
  <si>
    <t>[m/s]</t>
  </si>
  <si>
    <t>Gravitationskonstante</t>
  </si>
  <si>
    <t>g</t>
  </si>
  <si>
    <t>[m/s2]</t>
  </si>
  <si>
    <t>Reibungsverlust</t>
  </si>
  <si>
    <t>HRV</t>
  </si>
  <si>
    <t>Temperatur ϑ in [°C]</t>
  </si>
  <si>
    <r>
      <t>Viskosität ν in [10</t>
    </r>
    <r>
      <rPr>
        <b/>
        <vertAlign val="superscript"/>
        <sz val="11"/>
        <rFont val="Arial"/>
        <family val="2"/>
      </rPr>
      <t xml:space="preserve">-6 </t>
    </r>
    <r>
      <rPr>
        <b/>
        <sz val="11"/>
        <rFont val="Arial"/>
        <family val="2"/>
      </rPr>
      <t>m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/s]</t>
    </r>
  </si>
  <si>
    <t>Rohrwerkstoff</t>
  </si>
  <si>
    <t>Rauheitsbeiwert k in [mm]</t>
  </si>
  <si>
    <t>Empfehlung Biral</t>
  </si>
  <si>
    <t>Beton</t>
  </si>
  <si>
    <t>1 bis 3</t>
  </si>
  <si>
    <t>GFK</t>
  </si>
  <si>
    <t>≤ 0.01</t>
  </si>
  <si>
    <t>GG</t>
  </si>
  <si>
    <t>0.1 bis 0.6</t>
  </si>
  <si>
    <t>PE</t>
  </si>
  <si>
    <t>Polymerbeton</t>
  </si>
  <si>
    <t>≤ 0.05</t>
  </si>
  <si>
    <t>PP</t>
  </si>
  <si>
    <t>PVC</t>
  </si>
  <si>
    <t>Stahl</t>
  </si>
  <si>
    <t>absolute Rauigkeit bei unterschiedlichen, neuwertigen  Rohrleitungen</t>
  </si>
  <si>
    <t>Viskosität von Wasser</t>
  </si>
  <si>
    <r>
      <t>Reibungsverlust in Einzelwiederständen (H</t>
    </r>
    <r>
      <rPr>
        <b/>
        <sz val="8"/>
        <color indexed="8"/>
        <rFont val="Arial"/>
        <family val="2"/>
      </rPr>
      <t>VE</t>
    </r>
    <r>
      <rPr>
        <b/>
        <sz val="11"/>
        <color indexed="8"/>
        <rFont val="Arial"/>
        <family val="2"/>
      </rPr>
      <t>)</t>
    </r>
  </si>
  <si>
    <t>Etagenbogen 60°</t>
  </si>
  <si>
    <t>Schieber offen</t>
  </si>
  <si>
    <t>Doppelbogen 180°</t>
  </si>
  <si>
    <t>Gerade Rückschlagklappe</t>
  </si>
  <si>
    <t>Eck-Rückschlagventil</t>
  </si>
  <si>
    <t>T-Stück normal</t>
  </si>
  <si>
    <t>Kugel-T-Stück</t>
  </si>
  <si>
    <t>Konusbogen 4:3</t>
  </si>
  <si>
    <t>Konusbogen 3:4</t>
  </si>
  <si>
    <t>Winkel 90° rund</t>
  </si>
  <si>
    <t>Bogen 90° normal</t>
  </si>
  <si>
    <t xml:space="preserve">Leitungslänge: </t>
  </si>
  <si>
    <t xml:space="preserve">Volumen zu gross / Höhe zu hoch ; Schacht zu klein um  </t>
  </si>
  <si>
    <t xml:space="preserve">Dimension: </t>
  </si>
  <si>
    <t>R 2"</t>
  </si>
  <si>
    <t>DN 50</t>
  </si>
  <si>
    <t>DN 65</t>
  </si>
  <si>
    <t>DN 80</t>
  </si>
  <si>
    <t>DN 100</t>
  </si>
  <si>
    <t>DN 125</t>
  </si>
  <si>
    <t>viskosität</t>
  </si>
  <si>
    <t>l/s</t>
  </si>
  <si>
    <t>Auswahl:</t>
  </si>
  <si>
    <t>Länge</t>
  </si>
  <si>
    <t>Dimension:</t>
  </si>
  <si>
    <t>DI m</t>
  </si>
  <si>
    <t>K Wert:</t>
  </si>
  <si>
    <t>V</t>
  </si>
  <si>
    <t>reynoldszahl</t>
  </si>
  <si>
    <t>laminarität</t>
  </si>
  <si>
    <t>turbulente str.</t>
  </si>
  <si>
    <t>Widerstand</t>
  </si>
  <si>
    <t>k-wert</t>
  </si>
  <si>
    <t>Kunststoff, gezogen/gepreßt - neu</t>
  </si>
  <si>
    <t>Kunststoff, gezogen/gepreßt - gebraucht</t>
  </si>
  <si>
    <t>Aluminium, gezogen/gepreßt - neu</t>
  </si>
  <si>
    <t>Aluminium, gezogen/gepreßt - gebraucht</t>
  </si>
  <si>
    <t>Asbestzement - neu, glatt</t>
  </si>
  <si>
    <t>Beton - neu, Glattstrich</t>
  </si>
  <si>
    <t>Beton - neu, mittelrauh</t>
  </si>
  <si>
    <t>Beton - neu, rauh</t>
  </si>
  <si>
    <t>Beton - nach mehrjährigem Betrieb</t>
  </si>
  <si>
    <t>Beton, Stahl- - neu, geglättet</t>
  </si>
  <si>
    <t>Beton, Schleuder- - neu, glatt verputzt</t>
  </si>
  <si>
    <t>Beton, Schleuder- - neu, ohne Verputz</t>
  </si>
  <si>
    <t>Glas ,gezogen/gepreßt - neu</t>
  </si>
  <si>
    <t>Glas, gezogen/gepreßt - gebraucht</t>
  </si>
  <si>
    <t>Gummidruckschlauck - neu, glatt</t>
  </si>
  <si>
    <t>Gußeisen - neu, mit Gußhaut</t>
  </si>
  <si>
    <t>Gußeisen - neu, bituminiert</t>
  </si>
  <si>
    <t>Gußeisen - angerostet</t>
  </si>
  <si>
    <t>Gußeisen - verkrustet</t>
  </si>
  <si>
    <t>Gußeisen - nach mehrjä.Betrieb gesäubert</t>
  </si>
  <si>
    <t>Gußeisen - Durchschn.i.städt.Kanalisation</t>
  </si>
  <si>
    <t>Holzrohre - neu</t>
  </si>
  <si>
    <t>Holzrohre - nach langem Betrieb</t>
  </si>
  <si>
    <t>Kupfer, gezogen/gepreßt - neu</t>
  </si>
  <si>
    <t>Kupfer, gezogen/gepreßt - gebraucht</t>
  </si>
  <si>
    <t>Messing, gezogen/gepreßt - neu</t>
  </si>
  <si>
    <t>Messing, gezogen/gepreßt - gebraucht</t>
  </si>
  <si>
    <t>Stahl - gleichmäßige Rostnarben</t>
  </si>
  <si>
    <t>Stahl - mäßig Rost, leicht verkrustet</t>
  </si>
  <si>
    <t>Stahl - stark verkrustet</t>
  </si>
  <si>
    <t>Stahl - nach läng.Betrieb gesäubert</t>
  </si>
  <si>
    <t>Stahl, nahtlos - neu, Walzhaut</t>
  </si>
  <si>
    <t>Stahl, nahtlos - neu, gebeizt</t>
  </si>
  <si>
    <t>Stahl, nahtlos - neu, ungebeizt</t>
  </si>
  <si>
    <t>Stahl, nahtlos - neu, sauber verzinkt</t>
  </si>
  <si>
    <t>Stahl, nahtlos - neu, handelsüblich verzinkt</t>
  </si>
  <si>
    <t>Stahl, längsgeschweißt - neu, Walzhaut</t>
  </si>
  <si>
    <t>Stahl, längsgeschweißt - neu, bituminiert</t>
  </si>
  <si>
    <t>Stahl, längsgeschweißt - neu, galvanisiert</t>
  </si>
  <si>
    <t>Medium</t>
  </si>
  <si>
    <t>K:</t>
  </si>
  <si>
    <t>10 [°C]</t>
  </si>
  <si>
    <t>20 [°C]</t>
  </si>
  <si>
    <t>30 [°C]</t>
  </si>
  <si>
    <t>40 [°C]</t>
  </si>
  <si>
    <t>50 [°C]</t>
  </si>
  <si>
    <t>60 [°C]</t>
  </si>
  <si>
    <t>K-Wert auswählen:</t>
  </si>
  <si>
    <t>Dimension auswählen:</t>
  </si>
  <si>
    <t>bitte Dimension auswählen</t>
  </si>
  <si>
    <t xml:space="preserve">bitte Rohrleitung auswählen </t>
  </si>
  <si>
    <t>V:</t>
  </si>
  <si>
    <t>V auswertung:</t>
  </si>
  <si>
    <t>V zu klein</t>
  </si>
  <si>
    <t>V zu gross</t>
  </si>
  <si>
    <t xml:space="preserve">empfehlung Biral </t>
  </si>
  <si>
    <t>zwischen 1-2 m/s</t>
  </si>
  <si>
    <t>empfehlung Biral 10 C° / 1.307</t>
  </si>
  <si>
    <t>Viskosität:</t>
  </si>
  <si>
    <t>0 [°C]</t>
  </si>
  <si>
    <t>70 [°C]</t>
  </si>
  <si>
    <t>80 [°C]</t>
  </si>
  <si>
    <t>90 [°C]</t>
  </si>
  <si>
    <t>m /stk</t>
  </si>
  <si>
    <t>HRV:</t>
  </si>
  <si>
    <t>Total:</t>
  </si>
  <si>
    <t>HVR</t>
  </si>
  <si>
    <t>Hgeo Ermitteln:</t>
  </si>
  <si>
    <t>H MANO:</t>
  </si>
  <si>
    <t>HGEO Total</t>
  </si>
  <si>
    <t xml:space="preserve">Auswertung Schachtsel. Oder PDL </t>
  </si>
  <si>
    <t>Q Manuel in l/s</t>
  </si>
  <si>
    <t>Fäkalien ja nein:</t>
  </si>
  <si>
    <t>K Manuell angeben</t>
  </si>
  <si>
    <t>K- Wert Manuel:</t>
  </si>
  <si>
    <t>Q aus PSS in l/s</t>
  </si>
  <si>
    <t>Anzeige</t>
  </si>
  <si>
    <t>Wahrheit Format</t>
  </si>
  <si>
    <t>Biral Pipe Calc:</t>
  </si>
  <si>
    <t xml:space="preserve">Gestreckte
Leitungslänge: </t>
  </si>
  <si>
    <t xml:space="preserve">H GEO bis Ok Deckel </t>
  </si>
  <si>
    <t>H GEO bis PDL</t>
  </si>
  <si>
    <t xml:space="preserve">Auswertung H  Geo </t>
  </si>
  <si>
    <r>
      <t xml:space="preserve">           </t>
    </r>
    <r>
      <rPr>
        <sz val="10"/>
        <color theme="1"/>
        <rFont val="Calibri"/>
        <family val="2"/>
      </rPr>
      <t>≤</t>
    </r>
    <r>
      <rPr>
        <sz val="10"/>
        <color theme="1"/>
        <rFont val="Calibri"/>
        <family val="2"/>
        <scheme val="minor"/>
      </rPr>
      <t xml:space="preserve"> 10cm (0.7)</t>
    </r>
  </si>
  <si>
    <t>mit Hartbelag (1,0)</t>
  </si>
  <si>
    <t>avec gravier  (0.6)</t>
  </si>
  <si>
    <t>avec revêtement en dur (1.0)</t>
  </si>
  <si>
    <t>Con rivestimento duro (1.0)</t>
  </si>
  <si>
    <t>Con rivestimento in ghiaia (0.6)</t>
  </si>
  <si>
    <t>Con sistema ecologico (fughe di piestrisco) (0.6)</t>
  </si>
  <si>
    <t>Con rivestimento percolante (0.6)</t>
  </si>
  <si>
    <t>Con manufatti drenanti (0.2)</t>
  </si>
  <si>
    <t>Con mattonato per tappeti erbosi (0.2)</t>
  </si>
  <si>
    <t>avec écosystéme pavés écologiques  (0.6)</t>
  </si>
  <si>
    <t>avec recouvrement filtrant (0.6)</t>
  </si>
  <si>
    <t>avec pavé filtrant (0.2)</t>
  </si>
  <si>
    <t>avec grille de gazon (0.2)</t>
  </si>
  <si>
    <t>DL 0°</t>
  </si>
  <si>
    <t>Ø-Aussen in mm:</t>
  </si>
  <si>
    <t>Ø-extérieur en mm:</t>
  </si>
  <si>
    <t>Ø-esterno in mm:</t>
  </si>
  <si>
    <t xml:space="preserve">Niveau tiefster Apparat  mit </t>
  </si>
  <si>
    <t>Plankote M.ü.M. definieren</t>
  </si>
  <si>
    <t>Sohle Druckleitung (M.ü.M.)</t>
  </si>
  <si>
    <t>Sohle unterster Einlauf (M.ü.M.)</t>
  </si>
  <si>
    <t xml:space="preserve">Tiefenbegrenzung Schacht mit Plankote M.ü.M. (Optional) </t>
  </si>
  <si>
    <t>Eingabe ab OK Deckel</t>
  </si>
  <si>
    <t>Eingabe mit Plankote (M.ü.M.)</t>
  </si>
  <si>
    <r>
      <t>Nutzvolumen V</t>
    </r>
    <r>
      <rPr>
        <vertAlign val="subscript"/>
        <sz val="11"/>
        <color theme="1"/>
        <rFont val="Calibri"/>
        <family val="2"/>
        <scheme val="minor"/>
      </rPr>
      <t>R</t>
    </r>
  </si>
  <si>
    <r>
      <t>Reservevolumen V</t>
    </r>
    <r>
      <rPr>
        <vertAlign val="subscript"/>
        <sz val="11"/>
        <color theme="1"/>
        <rFont val="Calibri"/>
        <family val="2"/>
        <scheme val="minor"/>
      </rPr>
      <t>Res</t>
    </r>
  </si>
  <si>
    <r>
      <t>Pumpensumpf V</t>
    </r>
    <r>
      <rPr>
        <vertAlign val="subscript"/>
        <sz val="11"/>
        <color theme="1"/>
        <rFont val="Calibri"/>
        <family val="2"/>
        <scheme val="minor"/>
      </rPr>
      <t>SU</t>
    </r>
  </si>
  <si>
    <r>
      <t>H V</t>
    </r>
    <r>
      <rPr>
        <vertAlign val="subscript"/>
        <sz val="11"/>
        <color theme="1"/>
        <rFont val="Calibri"/>
        <family val="2"/>
        <scheme val="minor"/>
      </rPr>
      <t>SU</t>
    </r>
  </si>
  <si>
    <r>
      <t>Schachtvolumen in l ohne Pumpensumpf V</t>
    </r>
    <r>
      <rPr>
        <vertAlign val="subscript"/>
        <sz val="11"/>
        <color theme="1"/>
        <rFont val="Calibri"/>
        <family val="2"/>
        <scheme val="minor"/>
      </rPr>
      <t>SU</t>
    </r>
  </si>
  <si>
    <t>Volumen in l</t>
  </si>
  <si>
    <r>
      <t>Mindestvolumen V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für Schacht</t>
    </r>
  </si>
  <si>
    <t>Volume minimo Vmin</t>
  </si>
  <si>
    <t>Volume minimale Vmin</t>
  </si>
  <si>
    <t xml:space="preserve">           ≤ 10cm (0.7)</t>
  </si>
  <si>
    <t>Unterster Einlauf         S=</t>
  </si>
  <si>
    <t xml:space="preserve"> M.ü.M.</t>
  </si>
  <si>
    <t xml:space="preserve">  m.d.m.</t>
  </si>
  <si>
    <t xml:space="preserve"> m.s.l.m.</t>
  </si>
  <si>
    <t>OK Deckel</t>
  </si>
  <si>
    <t>BS coperchio</t>
  </si>
  <si>
    <t>BS couvercle</t>
  </si>
  <si>
    <t>inkl. Fäkalien generell</t>
  </si>
  <si>
    <t>Schachtselector V.5.2</t>
  </si>
  <si>
    <t>Sélecteur de fosse V.5.2</t>
  </si>
  <si>
    <t>Selettore pozzo V.5.2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</si>
</sst>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0.000"/>
    <numFmt numFmtId="166" formatCode="0.0000"/>
    <numFmt numFmtId="167" formatCode="0.00000"/>
    <numFmt numFmtId="168" formatCode="#,##0.0"/>
    <numFmt numFmtId="169" formatCode="0.00000000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Segoe UI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rgb="FF222222"/>
      <name val="Arial"/>
      <family val="2"/>
    </font>
    <font>
      <b/>
      <sz val="11"/>
      <color theme="7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55"/>
      <name val="Arial"/>
      <family val="2"/>
    </font>
    <font>
      <sz val="10"/>
      <name val="Arial"/>
      <family val="2"/>
    </font>
    <font>
      <sz val="11"/>
      <color indexed="30"/>
      <name val="Arial"/>
      <family val="2"/>
    </font>
    <font>
      <b/>
      <sz val="8"/>
      <color indexed="8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color theme="1"/>
      <name val="Arial"/>
      <family val="2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vertAlign val="subscript"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6A3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8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</cellStyleXfs>
  <cellXfs count="69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1" xfId="0" applyFill="1" applyBorder="1"/>
    <xf numFmtId="164" fontId="1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4" fontId="0" fillId="0" borderId="0" xfId="0" applyNumberFormat="1"/>
    <xf numFmtId="0" fontId="3" fillId="0" borderId="2" xfId="0" applyFont="1" applyBorder="1" applyAlignment="1">
      <alignment wrapText="1"/>
    </xf>
    <xf numFmtId="0" fontId="3" fillId="0" borderId="16" xfId="0" applyFont="1" applyBorder="1"/>
    <xf numFmtId="0" fontId="3" fillId="3" borderId="16" xfId="0" applyFont="1" applyFill="1" applyBorder="1"/>
    <xf numFmtId="0" fontId="3" fillId="3" borderId="17" xfId="0" applyFont="1" applyFill="1" applyBorder="1"/>
    <xf numFmtId="2" fontId="0" fillId="0" borderId="0" xfId="0" applyNumberFormat="1"/>
    <xf numFmtId="0" fontId="3" fillId="0" borderId="16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2" fontId="0" fillId="0" borderId="20" xfId="0" applyNumberFormat="1" applyBorder="1"/>
    <xf numFmtId="0" fontId="0" fillId="0" borderId="20" xfId="0" applyBorder="1"/>
    <xf numFmtId="2" fontId="0" fillId="0" borderId="21" xfId="0" applyNumberFormat="1" applyBorder="1"/>
    <xf numFmtId="2" fontId="0" fillId="0" borderId="22" xfId="0" applyNumberFormat="1" applyBorder="1"/>
    <xf numFmtId="2" fontId="0" fillId="0" borderId="23" xfId="0" applyNumberFormat="1" applyBorder="1"/>
    <xf numFmtId="0" fontId="0" fillId="0" borderId="24" xfId="0" applyBorder="1"/>
    <xf numFmtId="0" fontId="0" fillId="0" borderId="25" xfId="0" applyBorder="1"/>
    <xf numFmtId="2" fontId="1" fillId="0" borderId="18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0" fillId="0" borderId="26" xfId="0" applyNumberFormat="1" applyBorder="1"/>
    <xf numFmtId="2" fontId="0" fillId="0" borderId="27" xfId="0" applyNumberFormat="1" applyBorder="1"/>
    <xf numFmtId="0" fontId="0" fillId="0" borderId="28" xfId="0" applyBorder="1"/>
    <xf numFmtId="2" fontId="1" fillId="0" borderId="29" xfId="0" applyNumberFormat="1" applyFont="1" applyBorder="1" applyAlignment="1">
      <alignment horizontal="center"/>
    </xf>
    <xf numFmtId="0" fontId="3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30" xfId="0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Border="1"/>
    <xf numFmtId="0" fontId="1" fillId="0" borderId="8" xfId="0" applyFont="1" applyFill="1" applyBorder="1"/>
    <xf numFmtId="0" fontId="1" fillId="0" borderId="0" xfId="0" applyFont="1" applyBorder="1"/>
    <xf numFmtId="0" fontId="1" fillId="0" borderId="9" xfId="0" applyFont="1" applyBorder="1"/>
    <xf numFmtId="0" fontId="1" fillId="0" borderId="9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NumberFormat="1"/>
    <xf numFmtId="2" fontId="0" fillId="0" borderId="0" xfId="0" applyNumberFormat="1" applyProtection="1">
      <protection locked="0"/>
    </xf>
    <xf numFmtId="0" fontId="1" fillId="4" borderId="1" xfId="0" applyFont="1" applyFill="1" applyBorder="1"/>
    <xf numFmtId="4" fontId="1" fillId="0" borderId="0" xfId="0" applyNumberFormat="1" applyFont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2" fontId="0" fillId="0" borderId="0" xfId="0" applyNumberFormat="1" applyBorder="1" applyProtection="1">
      <protection locked="0"/>
    </xf>
    <xf numFmtId="4" fontId="4" fillId="0" borderId="0" xfId="0" applyNumberFormat="1" applyFont="1" applyBorder="1"/>
    <xf numFmtId="2" fontId="0" fillId="0" borderId="0" xfId="0" applyNumberForma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" fillId="0" borderId="34" xfId="0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20" xfId="0" applyBorder="1" applyAlignment="1">
      <alignment horizontal="right"/>
    </xf>
    <xf numFmtId="0" fontId="0" fillId="0" borderId="0" xfId="0" applyFill="1" applyBorder="1" applyAlignment="1">
      <alignment horizontal="left"/>
    </xf>
    <xf numFmtId="1" fontId="0" fillId="0" borderId="0" xfId="0" applyNumberFormat="1" applyFill="1" applyBorder="1"/>
    <xf numFmtId="1" fontId="0" fillId="0" borderId="0" xfId="0" applyNumberFormat="1"/>
    <xf numFmtId="0" fontId="1" fillId="0" borderId="0" xfId="0" applyFont="1" applyFill="1" applyBorder="1" applyAlignment="1">
      <alignment horizontal="right"/>
    </xf>
    <xf numFmtId="2" fontId="5" fillId="0" borderId="0" xfId="0" applyNumberFormat="1" applyFont="1"/>
    <xf numFmtId="0" fontId="1" fillId="4" borderId="39" xfId="0" applyFont="1" applyFill="1" applyBorder="1"/>
    <xf numFmtId="0" fontId="5" fillId="0" borderId="14" xfId="0" applyFont="1" applyBorder="1"/>
    <xf numFmtId="0" fontId="5" fillId="0" borderId="30" xfId="0" applyFont="1" applyBorder="1"/>
    <xf numFmtId="0" fontId="1" fillId="0" borderId="14" xfId="0" applyFont="1" applyBorder="1"/>
    <xf numFmtId="0" fontId="0" fillId="0" borderId="32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0" xfId="0" applyBorder="1" applyAlignment="1">
      <alignment horizontal="right"/>
    </xf>
    <xf numFmtId="2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20" xfId="0" applyFill="1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37" xfId="0" applyBorder="1" applyAlignment="1">
      <alignment horizontal="right"/>
    </xf>
    <xf numFmtId="0" fontId="0" fillId="2" borderId="20" xfId="0" applyFill="1" applyBorder="1" applyAlignment="1">
      <alignment horizontal="right"/>
    </xf>
    <xf numFmtId="0" fontId="3" fillId="0" borderId="40" xfId="0" applyFont="1" applyBorder="1"/>
    <xf numFmtId="0" fontId="3" fillId="0" borderId="0" xfId="0" applyFont="1" applyFill="1" applyBorder="1"/>
    <xf numFmtId="0" fontId="0" fillId="0" borderId="31" xfId="0" applyBorder="1"/>
    <xf numFmtId="2" fontId="0" fillId="0" borderId="20" xfId="0" applyNumberFormat="1" applyBorder="1" applyProtection="1">
      <protection locked="0"/>
    </xf>
    <xf numFmtId="0" fontId="0" fillId="0" borderId="4" xfId="0" applyFill="1" applyBorder="1"/>
    <xf numFmtId="4" fontId="0" fillId="0" borderId="4" xfId="0" applyNumberFormat="1" applyBorder="1"/>
    <xf numFmtId="0" fontId="1" fillId="4" borderId="31" xfId="0" applyFont="1" applyFill="1" applyBorder="1"/>
    <xf numFmtId="0" fontId="5" fillId="0" borderId="33" xfId="0" applyFont="1" applyBorder="1"/>
    <xf numFmtId="0" fontId="5" fillId="0" borderId="0" xfId="0" applyFont="1" applyBorder="1"/>
    <xf numFmtId="0" fontId="0" fillId="0" borderId="14" xfId="0" applyFont="1" applyFill="1" applyBorder="1" applyAlignment="1">
      <alignment horizontal="left"/>
    </xf>
    <xf numFmtId="0" fontId="0" fillId="0" borderId="27" xfId="0" applyBorder="1" applyAlignment="1">
      <alignment horizontal="right"/>
    </xf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20" xfId="0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0" fontId="5" fillId="0" borderId="20" xfId="0" applyFont="1" applyBorder="1"/>
    <xf numFmtId="1" fontId="0" fillId="0" borderId="33" xfId="0" applyNumberFormat="1" applyBorder="1"/>
    <xf numFmtId="0" fontId="0" fillId="5" borderId="1" xfId="0" applyFill="1" applyBorder="1"/>
    <xf numFmtId="0" fontId="6" fillId="0" borderId="0" xfId="0" applyFont="1"/>
    <xf numFmtId="164" fontId="0" fillId="0" borderId="33" xfId="0" applyNumberFormat="1" applyBorder="1"/>
    <xf numFmtId="2" fontId="0" fillId="0" borderId="37" xfId="0" applyNumberFormat="1" applyBorder="1"/>
    <xf numFmtId="0" fontId="0" fillId="0" borderId="0" xfId="0" applyAlignment="1">
      <alignment horizontal="left"/>
    </xf>
    <xf numFmtId="0" fontId="0" fillId="0" borderId="49" xfId="0" applyBorder="1"/>
    <xf numFmtId="0" fontId="0" fillId="0" borderId="50" xfId="0" applyBorder="1"/>
    <xf numFmtId="0" fontId="0" fillId="0" borderId="34" xfId="0" applyFill="1" applyBorder="1"/>
    <xf numFmtId="0" fontId="0" fillId="0" borderId="32" xfId="0" applyFill="1" applyBorder="1"/>
    <xf numFmtId="3" fontId="0" fillId="0" borderId="0" xfId="0" applyNumberFormat="1"/>
    <xf numFmtId="3" fontId="0" fillId="0" borderId="38" xfId="0" applyNumberFormat="1" applyBorder="1"/>
    <xf numFmtId="3" fontId="0" fillId="0" borderId="28" xfId="0" applyNumberFormat="1" applyBorder="1"/>
    <xf numFmtId="3" fontId="0" fillId="0" borderId="35" xfId="0" applyNumberFormat="1" applyBorder="1"/>
    <xf numFmtId="3" fontId="0" fillId="0" borderId="35" xfId="0" applyNumberFormat="1" applyFill="1" applyBorder="1"/>
    <xf numFmtId="3" fontId="0" fillId="0" borderId="28" xfId="0" applyNumberFormat="1" applyFill="1" applyBorder="1"/>
    <xf numFmtId="0" fontId="0" fillId="6" borderId="28" xfId="0" applyFill="1" applyBorder="1"/>
    <xf numFmtId="0" fontId="0" fillId="0" borderId="2" xfId="0" applyBorder="1" applyAlignment="1">
      <alignment horizontal="left"/>
    </xf>
    <xf numFmtId="0" fontId="0" fillId="0" borderId="40" xfId="0" applyBorder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9" xfId="0" applyFill="1" applyBorder="1"/>
    <xf numFmtId="3" fontId="0" fillId="0" borderId="50" xfId="0" applyNumberFormat="1" applyFill="1" applyBorder="1"/>
    <xf numFmtId="0" fontId="0" fillId="7" borderId="0" xfId="0" applyFill="1"/>
    <xf numFmtId="0" fontId="0" fillId="7" borderId="2" xfId="0" applyFill="1" applyBorder="1" applyAlignment="1">
      <alignment horizontal="left"/>
    </xf>
    <xf numFmtId="0" fontId="0" fillId="7" borderId="40" xfId="0" applyFill="1" applyBorder="1"/>
    <xf numFmtId="0" fontId="0" fillId="7" borderId="46" xfId="0" applyFill="1" applyBorder="1"/>
    <xf numFmtId="0" fontId="0" fillId="6" borderId="0" xfId="0" applyFill="1"/>
    <xf numFmtId="3" fontId="0" fillId="0" borderId="34" xfId="0" applyNumberFormat="1" applyBorder="1"/>
    <xf numFmtId="0" fontId="0" fillId="0" borderId="51" xfId="0" applyBorder="1"/>
    <xf numFmtId="0" fontId="0" fillId="0" borderId="52" xfId="0" applyBorder="1"/>
    <xf numFmtId="0" fontId="0" fillId="6" borderId="2" xfId="0" applyFill="1" applyBorder="1" applyAlignment="1">
      <alignment horizontal="left"/>
    </xf>
    <xf numFmtId="0" fontId="0" fillId="6" borderId="40" xfId="0" applyFill="1" applyBorder="1"/>
    <xf numFmtId="0" fontId="0" fillId="6" borderId="46" xfId="0" applyFill="1" applyBorder="1"/>
    <xf numFmtId="0" fontId="0" fillId="6" borderId="3" xfId="0" applyFill="1" applyBorder="1"/>
    <xf numFmtId="0" fontId="0" fillId="0" borderId="53" xfId="0" applyFill="1" applyBorder="1"/>
    <xf numFmtId="0" fontId="0" fillId="0" borderId="24" xfId="0" applyFill="1" applyBorder="1"/>
    <xf numFmtId="0" fontId="0" fillId="0" borderId="51" xfId="0" applyFill="1" applyBorder="1"/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9" fillId="0" borderId="0" xfId="0" applyFont="1"/>
    <xf numFmtId="0" fontId="8" fillId="0" borderId="0" xfId="0" applyFont="1"/>
    <xf numFmtId="49" fontId="9" fillId="0" borderId="0" xfId="0" applyNumberFormat="1" applyFont="1"/>
    <xf numFmtId="49" fontId="9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0" fontId="9" fillId="0" borderId="0" xfId="0" applyFont="1" applyAlignment="1"/>
    <xf numFmtId="0" fontId="0" fillId="0" borderId="12" xfId="0" applyBorder="1"/>
    <xf numFmtId="0" fontId="0" fillId="0" borderId="1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165" fontId="0" fillId="0" borderId="28" xfId="0" applyNumberFormat="1" applyBorder="1"/>
    <xf numFmtId="165" fontId="0" fillId="0" borderId="33" xfId="0" applyNumberFormat="1" applyBorder="1"/>
    <xf numFmtId="0" fontId="0" fillId="9" borderId="28" xfId="0" applyFill="1" applyBorder="1"/>
    <xf numFmtId="0" fontId="0" fillId="0" borderId="6" xfId="0" applyFill="1" applyBorder="1"/>
    <xf numFmtId="0" fontId="0" fillId="10" borderId="12" xfId="0" applyFill="1" applyBorder="1"/>
    <xf numFmtId="0" fontId="0" fillId="10" borderId="1" xfId="0" applyFill="1" applyBorder="1"/>
    <xf numFmtId="0" fontId="0" fillId="11" borderId="13" xfId="0" applyFill="1" applyBorder="1"/>
    <xf numFmtId="0" fontId="0" fillId="11" borderId="14" xfId="0" applyFill="1" applyBorder="1"/>
    <xf numFmtId="0" fontId="0" fillId="11" borderId="15" xfId="0" applyFill="1" applyBorder="1"/>
    <xf numFmtId="2" fontId="0" fillId="0" borderId="13" xfId="0" applyNumberFormat="1" applyBorder="1"/>
    <xf numFmtId="0" fontId="0" fillId="0" borderId="63" xfId="0" applyBorder="1"/>
    <xf numFmtId="0" fontId="0" fillId="0" borderId="23" xfId="0" applyBorder="1"/>
    <xf numFmtId="0" fontId="0" fillId="0" borderId="0" xfId="0" applyFont="1"/>
    <xf numFmtId="0" fontId="0" fillId="0" borderId="28" xfId="0" applyFill="1" applyBorder="1"/>
    <xf numFmtId="2" fontId="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4" borderId="0" xfId="0" applyFont="1" applyFill="1" applyBorder="1"/>
    <xf numFmtId="16" fontId="0" fillId="0" borderId="0" xfId="0" applyNumberFormat="1"/>
    <xf numFmtId="12" fontId="0" fillId="0" borderId="0" xfId="0" applyNumberFormat="1"/>
    <xf numFmtId="1" fontId="0" fillId="0" borderId="28" xfId="0" applyNumberFormat="1" applyBorder="1"/>
    <xf numFmtId="1" fontId="0" fillId="0" borderId="38" xfId="0" applyNumberFormat="1" applyBorder="1"/>
    <xf numFmtId="1" fontId="0" fillId="0" borderId="0" xfId="0" applyNumberFormat="1" applyBorder="1"/>
    <xf numFmtId="1" fontId="0" fillId="0" borderId="35" xfId="0" applyNumberFormat="1" applyBorder="1"/>
    <xf numFmtId="165" fontId="0" fillId="0" borderId="28" xfId="0" applyNumberFormat="1" applyFill="1" applyBorder="1"/>
    <xf numFmtId="0" fontId="0" fillId="0" borderId="51" xfId="0" applyFill="1" applyBorder="1" applyAlignment="1">
      <alignment horizontal="right"/>
    </xf>
    <xf numFmtId="2" fontId="0" fillId="13" borderId="60" xfId="0" applyNumberFormat="1" applyFill="1" applyBorder="1"/>
    <xf numFmtId="0" fontId="0" fillId="0" borderId="0" xfId="0" applyFill="1"/>
    <xf numFmtId="4" fontId="13" fillId="0" borderId="0" xfId="0" applyNumberFormat="1" applyFont="1" applyBorder="1"/>
    <xf numFmtId="0" fontId="6" fillId="0" borderId="0" xfId="0" applyFont="1" applyFill="1" applyBorder="1"/>
    <xf numFmtId="2" fontId="0" fillId="0" borderId="1" xfId="0" applyNumberFormat="1" applyBorder="1"/>
    <xf numFmtId="0" fontId="11" fillId="0" borderId="0" xfId="0" applyFont="1"/>
    <xf numFmtId="0" fontId="0" fillId="14" borderId="0" xfId="0" applyFill="1"/>
    <xf numFmtId="0" fontId="14" fillId="14" borderId="0" xfId="0" applyFont="1" applyFill="1"/>
    <xf numFmtId="0" fontId="0" fillId="6" borderId="33" xfId="0" applyFill="1" applyBorder="1"/>
    <xf numFmtId="0" fontId="0" fillId="6" borderId="0" xfId="0" applyFill="1" applyBorder="1"/>
    <xf numFmtId="0" fontId="0" fillId="0" borderId="35" xfId="0" applyFill="1" applyBorder="1"/>
    <xf numFmtId="0" fontId="0" fillId="6" borderId="34" xfId="0" applyFill="1" applyBorder="1"/>
    <xf numFmtId="0" fontId="0" fillId="6" borderId="36" xfId="0" applyFill="1" applyBorder="1"/>
    <xf numFmtId="0" fontId="0" fillId="0" borderId="28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15" borderId="35" xfId="0" applyFill="1" applyBorder="1"/>
    <xf numFmtId="0" fontId="0" fillId="15" borderId="38" xfId="0" applyFill="1" applyBorder="1"/>
    <xf numFmtId="0" fontId="0" fillId="16" borderId="0" xfId="0" applyFill="1"/>
    <xf numFmtId="0" fontId="0" fillId="16" borderId="1" xfId="0" applyFill="1" applyBorder="1"/>
    <xf numFmtId="0" fontId="0" fillId="6" borderId="4" xfId="0" applyFill="1" applyBorder="1"/>
    <xf numFmtId="0" fontId="0" fillId="6" borderId="20" xfId="0" applyFill="1" applyBorder="1"/>
    <xf numFmtId="0" fontId="0" fillId="0" borderId="33" xfId="0" applyBorder="1" applyAlignment="1">
      <alignment horizontal="left"/>
    </xf>
    <xf numFmtId="0" fontId="0" fillId="4" borderId="0" xfId="0" applyFill="1"/>
    <xf numFmtId="0" fontId="0" fillId="0" borderId="0" xfId="0" applyFill="1" applyAlignment="1">
      <alignment horizontal="left"/>
    </xf>
    <xf numFmtId="0" fontId="0" fillId="10" borderId="15" xfId="0" applyFill="1" applyBorder="1"/>
    <xf numFmtId="0" fontId="0" fillId="18" borderId="31" xfId="0" applyFill="1" applyBorder="1"/>
    <xf numFmtId="0" fontId="0" fillId="10" borderId="31" xfId="0" applyFill="1" applyBorder="1"/>
    <xf numFmtId="0" fontId="6" fillId="18" borderId="31" xfId="0" applyFont="1" applyFill="1" applyBorder="1"/>
    <xf numFmtId="0" fontId="6" fillId="10" borderId="31" xfId="0" applyFont="1" applyFill="1" applyBorder="1"/>
    <xf numFmtId="0" fontId="6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0" fillId="0" borderId="6" xfId="0" applyFill="1" applyBorder="1" applyProtection="1">
      <protection hidden="1"/>
    </xf>
    <xf numFmtId="0" fontId="0" fillId="0" borderId="9" xfId="0" applyBorder="1" applyProtection="1">
      <protection hidden="1"/>
    </xf>
    <xf numFmtId="0" fontId="6" fillId="0" borderId="0" xfId="0" applyFont="1" applyFill="1" applyProtection="1">
      <protection hidden="1"/>
    </xf>
    <xf numFmtId="0" fontId="0" fillId="0" borderId="1" xfId="0" applyBorder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2" xfId="0" applyBorder="1" applyProtection="1">
      <protection hidden="1"/>
    </xf>
    <xf numFmtId="0" fontId="1" fillId="0" borderId="8" xfId="0" applyFont="1" applyBorder="1" applyProtection="1">
      <protection hidden="1"/>
    </xf>
    <xf numFmtId="0" fontId="0" fillId="0" borderId="8" xfId="0" applyBorder="1" applyProtection="1">
      <protection hidden="1"/>
    </xf>
    <xf numFmtId="0" fontId="1" fillId="0" borderId="43" xfId="0" applyFont="1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0" fillId="0" borderId="6" xfId="0" applyBorder="1" applyProtection="1">
      <protection hidden="1"/>
    </xf>
    <xf numFmtId="0" fontId="0" fillId="8" borderId="2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0" fillId="8" borderId="0" xfId="0" applyFill="1" applyBorder="1" applyProtection="1">
      <protection hidden="1"/>
    </xf>
    <xf numFmtId="0" fontId="0" fillId="0" borderId="62" xfId="0" applyBorder="1" applyProtection="1">
      <protection hidden="1"/>
    </xf>
    <xf numFmtId="0" fontId="12" fillId="12" borderId="2" xfId="0" applyFont="1" applyFill="1" applyBorder="1" applyAlignment="1" applyProtection="1">
      <protection hidden="1"/>
    </xf>
    <xf numFmtId="0" fontId="6" fillId="12" borderId="31" xfId="0" applyFont="1" applyFill="1" applyBorder="1" applyProtection="1">
      <protection hidden="1"/>
    </xf>
    <xf numFmtId="0" fontId="0" fillId="12" borderId="31" xfId="0" applyFill="1" applyBorder="1" applyProtection="1">
      <protection hidden="1"/>
    </xf>
    <xf numFmtId="0" fontId="2" fillId="12" borderId="31" xfId="0" applyFont="1" applyFill="1" applyBorder="1" applyProtection="1">
      <protection hidden="1"/>
    </xf>
    <xf numFmtId="0" fontId="0" fillId="12" borderId="39" xfId="0" applyFill="1" applyBorder="1" applyProtection="1">
      <protection hidden="1"/>
    </xf>
    <xf numFmtId="0" fontId="1" fillId="0" borderId="9" xfId="0" applyFont="1" applyBorder="1" applyProtection="1">
      <protection hidden="1"/>
    </xf>
    <xf numFmtId="0" fontId="0" fillId="0" borderId="31" xfId="0" applyBorder="1" applyProtection="1">
      <protection hidden="1"/>
    </xf>
    <xf numFmtId="0" fontId="0" fillId="0" borderId="64" xfId="0" applyBorder="1" applyProtection="1">
      <protection hidden="1"/>
    </xf>
    <xf numFmtId="0" fontId="15" fillId="0" borderId="32" xfId="0" applyFont="1" applyBorder="1" applyProtection="1">
      <protection hidden="1"/>
    </xf>
    <xf numFmtId="0" fontId="15" fillId="0" borderId="57" xfId="0" applyFont="1" applyBorder="1" applyProtection="1">
      <protection hidden="1"/>
    </xf>
    <xf numFmtId="0" fontId="0" fillId="0" borderId="27" xfId="0" applyBorder="1" applyProtection="1">
      <protection hidden="1"/>
    </xf>
    <xf numFmtId="0" fontId="15" fillId="0" borderId="24" xfId="0" applyFont="1" applyBorder="1" applyProtection="1">
      <protection hidden="1"/>
    </xf>
    <xf numFmtId="0" fontId="15" fillId="0" borderId="34" xfId="0" applyFont="1" applyBorder="1" applyProtection="1">
      <protection hidden="1"/>
    </xf>
    <xf numFmtId="0" fontId="0" fillId="0" borderId="35" xfId="0" applyBorder="1" applyProtection="1">
      <protection hidden="1"/>
    </xf>
    <xf numFmtId="0" fontId="15" fillId="0" borderId="51" xfId="0" applyFont="1" applyBorder="1" applyProtection="1">
      <protection hidden="1"/>
    </xf>
    <xf numFmtId="0" fontId="15" fillId="0" borderId="36" xfId="0" applyFont="1" applyBorder="1" applyProtection="1">
      <protection hidden="1"/>
    </xf>
    <xf numFmtId="0" fontId="0" fillId="0" borderId="38" xfId="0" applyBorder="1" applyProtection="1">
      <protection hidden="1"/>
    </xf>
    <xf numFmtId="0" fontId="15" fillId="0" borderId="65" xfId="0" applyFont="1" applyBorder="1" applyProtection="1">
      <protection hidden="1"/>
    </xf>
    <xf numFmtId="0" fontId="1" fillId="10" borderId="31" xfId="0" applyFont="1" applyFill="1" applyBorder="1" applyAlignment="1" applyProtection="1">
      <alignment horizontal="right"/>
      <protection hidden="1"/>
    </xf>
    <xf numFmtId="0" fontId="0" fillId="10" borderId="31" xfId="0" applyFill="1" applyBorder="1" applyProtection="1">
      <protection hidden="1"/>
    </xf>
    <xf numFmtId="2" fontId="4" fillId="10" borderId="39" xfId="0" applyNumberFormat="1" applyFont="1" applyFill="1" applyBorder="1" applyProtection="1">
      <protection hidden="1"/>
    </xf>
    <xf numFmtId="0" fontId="1" fillId="0" borderId="4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0" fillId="0" borderId="66" xfId="0" applyBorder="1" applyProtection="1">
      <protection hidden="1"/>
    </xf>
    <xf numFmtId="0" fontId="1" fillId="18" borderId="31" xfId="0" applyFont="1" applyFill="1" applyBorder="1" applyProtection="1">
      <protection hidden="1"/>
    </xf>
    <xf numFmtId="0" fontId="2" fillId="18" borderId="31" xfId="0" applyFont="1" applyFill="1" applyBorder="1" applyProtection="1">
      <protection hidden="1"/>
    </xf>
    <xf numFmtId="0" fontId="0" fillId="18" borderId="31" xfId="0" applyFill="1" applyBorder="1" applyProtection="1">
      <protection hidden="1"/>
    </xf>
    <xf numFmtId="0" fontId="0" fillId="18" borderId="39" xfId="0" applyFill="1" applyBorder="1" applyProtection="1">
      <protection hidden="1"/>
    </xf>
    <xf numFmtId="0" fontId="1" fillId="0" borderId="8" xfId="0" applyFont="1" applyFill="1" applyBorder="1" applyProtection="1">
      <protection hidden="1"/>
    </xf>
    <xf numFmtId="0" fontId="1" fillId="0" borderId="2" xfId="0" applyFont="1" applyFill="1" applyBorder="1" applyAlignment="1" applyProtection="1">
      <alignment horizontal="left"/>
      <protection hidden="1"/>
    </xf>
    <xf numFmtId="0" fontId="1" fillId="0" borderId="9" xfId="0" applyFont="1" applyFill="1" applyBorder="1" applyProtection="1">
      <protection hidden="1"/>
    </xf>
    <xf numFmtId="0" fontId="1" fillId="0" borderId="6" xfId="0" applyFont="1" applyFill="1" applyBorder="1" applyAlignment="1" applyProtection="1">
      <alignment horizontal="left"/>
      <protection hidden="1"/>
    </xf>
    <xf numFmtId="0" fontId="1" fillId="0" borderId="8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1" fillId="0" borderId="9" xfId="0" applyFont="1" applyBorder="1" applyAlignment="1" applyProtection="1">
      <alignment horizontal="left"/>
      <protection hidden="1"/>
    </xf>
    <xf numFmtId="0" fontId="2" fillId="0" borderId="9" xfId="0" applyFont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0" fillId="12" borderId="14" xfId="0" applyFill="1" applyBorder="1" applyAlignment="1" applyProtection="1">
      <protection hidden="1"/>
    </xf>
    <xf numFmtId="0" fontId="0" fillId="12" borderId="15" xfId="0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18" borderId="2" xfId="0" applyFill="1" applyBorder="1" applyProtection="1">
      <protection hidden="1"/>
    </xf>
    <xf numFmtId="0" fontId="0" fillId="18" borderId="14" xfId="0" applyFill="1" applyBorder="1" applyProtection="1">
      <protection hidden="1"/>
    </xf>
    <xf numFmtId="0" fontId="0" fillId="18" borderId="15" xfId="0" applyFill="1" applyBorder="1" applyProtection="1">
      <protection hidden="1"/>
    </xf>
    <xf numFmtId="0" fontId="1" fillId="0" borderId="9" xfId="0" applyFont="1" applyFill="1" applyBorder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1" fillId="0" borderId="8" xfId="0" applyFont="1" applyFill="1" applyBorder="1" applyAlignment="1" applyProtection="1">
      <alignment horizontal="left"/>
      <protection hidden="1"/>
    </xf>
    <xf numFmtId="0" fontId="0" fillId="17" borderId="2" xfId="0" applyFill="1" applyBorder="1" applyProtection="1">
      <protection hidden="1"/>
    </xf>
    <xf numFmtId="0" fontId="6" fillId="17" borderId="31" xfId="0" applyFont="1" applyFill="1" applyBorder="1" applyProtection="1">
      <protection hidden="1"/>
    </xf>
    <xf numFmtId="0" fontId="11" fillId="17" borderId="31" xfId="0" applyFont="1" applyFill="1" applyBorder="1" applyProtection="1">
      <protection hidden="1"/>
    </xf>
    <xf numFmtId="0" fontId="0" fillId="17" borderId="31" xfId="0" applyFill="1" applyBorder="1" applyProtection="1">
      <protection hidden="1"/>
    </xf>
    <xf numFmtId="0" fontId="2" fillId="17" borderId="31" xfId="0" applyFont="1" applyFill="1" applyBorder="1" applyProtection="1">
      <protection hidden="1"/>
    </xf>
    <xf numFmtId="0" fontId="0" fillId="17" borderId="39" xfId="0" applyFill="1" applyBorder="1" applyProtection="1">
      <protection hidden="1"/>
    </xf>
    <xf numFmtId="0" fontId="0" fillId="17" borderId="14" xfId="0" applyFill="1" applyBorder="1" applyProtection="1">
      <protection hidden="1"/>
    </xf>
    <xf numFmtId="0" fontId="1" fillId="0" borderId="60" xfId="0" applyFont="1" applyBorder="1" applyAlignment="1" applyProtection="1">
      <alignment horizontal="left" vertical="top"/>
      <protection hidden="1"/>
    </xf>
    <xf numFmtId="0" fontId="1" fillId="0" borderId="31" xfId="0" applyFont="1" applyBorder="1" applyAlignment="1" applyProtection="1">
      <alignment horizontal="left" vertical="top"/>
      <protection hidden="1"/>
    </xf>
    <xf numFmtId="0" fontId="1" fillId="0" borderId="31" xfId="0" applyFont="1" applyBorder="1" applyAlignment="1" applyProtection="1">
      <protection hidden="1"/>
    </xf>
    <xf numFmtId="0" fontId="0" fillId="0" borderId="31" xfId="0" applyFont="1" applyBorder="1" applyAlignment="1" applyProtection="1">
      <protection hidden="1"/>
    </xf>
    <xf numFmtId="0" fontId="0" fillId="0" borderId="39" xfId="0" applyFont="1" applyBorder="1" applyAlignment="1" applyProtection="1">
      <protection hidden="1"/>
    </xf>
    <xf numFmtId="1" fontId="1" fillId="0" borderId="44" xfId="0" applyNumberFormat="1" applyFont="1" applyBorder="1" applyAlignment="1" applyProtection="1">
      <alignment horizontal="center" vertical="center"/>
      <protection hidden="1"/>
    </xf>
    <xf numFmtId="3" fontId="1" fillId="0" borderId="42" xfId="0" applyNumberFormat="1" applyFont="1" applyBorder="1" applyAlignment="1" applyProtection="1">
      <alignment horizontal="left"/>
      <protection hidden="1"/>
    </xf>
    <xf numFmtId="1" fontId="0" fillId="0" borderId="42" xfId="0" applyNumberFormat="1" applyFont="1" applyBorder="1" applyAlignment="1" applyProtection="1">
      <alignment horizontal="left"/>
      <protection hidden="1"/>
    </xf>
    <xf numFmtId="1" fontId="0" fillId="0" borderId="45" xfId="0" applyNumberFormat="1" applyFont="1" applyBorder="1" applyAlignment="1" applyProtection="1">
      <alignment horizontal="left"/>
      <protection hidden="1"/>
    </xf>
    <xf numFmtId="0" fontId="1" fillId="0" borderId="8" xfId="0" applyFont="1" applyBorder="1" applyAlignment="1" applyProtection="1">
      <protection hidden="1"/>
    </xf>
    <xf numFmtId="0" fontId="0" fillId="0" borderId="8" xfId="0" applyFont="1" applyBorder="1" applyAlignment="1" applyProtection="1">
      <protection hidden="1"/>
    </xf>
    <xf numFmtId="0" fontId="0" fillId="0" borderId="3" xfId="0" applyFont="1" applyBorder="1" applyAlignment="1" applyProtection="1">
      <protection hidden="1"/>
    </xf>
    <xf numFmtId="0" fontId="1" fillId="0" borderId="6" xfId="0" applyFont="1" applyBorder="1" applyAlignment="1" applyProtection="1">
      <alignment horizontal="left"/>
      <protection hidden="1"/>
    </xf>
    <xf numFmtId="0" fontId="1" fillId="0" borderId="9" xfId="0" applyFont="1" applyBorder="1" applyAlignment="1" applyProtection="1">
      <alignment horizontal="right"/>
      <protection hidden="1"/>
    </xf>
    <xf numFmtId="0" fontId="0" fillId="0" borderId="9" xfId="0" applyFont="1" applyBorder="1" applyAlignment="1" applyProtection="1">
      <alignment horizontal="right"/>
      <protection hidden="1"/>
    </xf>
    <xf numFmtId="0" fontId="0" fillId="0" borderId="7" xfId="0" applyFont="1" applyBorder="1" applyAlignment="1" applyProtection="1">
      <alignment horizontal="center"/>
      <protection hidden="1"/>
    </xf>
    <xf numFmtId="1" fontId="0" fillId="0" borderId="42" xfId="0" applyNumberFormat="1" applyFont="1" applyBorder="1" applyAlignment="1" applyProtection="1">
      <alignment horizontal="center"/>
      <protection hidden="1"/>
    </xf>
    <xf numFmtId="1" fontId="0" fillId="0" borderId="45" xfId="0" applyNumberFormat="1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left" vertical="top"/>
      <protection hidden="1"/>
    </xf>
    <xf numFmtId="0" fontId="1" fillId="0" borderId="8" xfId="0" applyFont="1" applyBorder="1" applyAlignment="1" applyProtection="1">
      <alignment horizontal="left" vertical="top" wrapText="1"/>
      <protection hidden="1"/>
    </xf>
    <xf numFmtId="0" fontId="1" fillId="0" borderId="6" xfId="0" applyFont="1" applyFill="1" applyBorder="1" applyAlignment="1" applyProtection="1">
      <alignment vertical="top"/>
      <protection hidden="1"/>
    </xf>
    <xf numFmtId="0" fontId="0" fillId="0" borderId="9" xfId="0" applyFont="1" applyFill="1" applyBorder="1" applyAlignment="1" applyProtection="1">
      <protection hidden="1"/>
    </xf>
    <xf numFmtId="0" fontId="0" fillId="0" borderId="7" xfId="0" applyFont="1" applyFill="1" applyBorder="1" applyAlignment="1" applyProtection="1">
      <protection hidden="1"/>
    </xf>
    <xf numFmtId="0" fontId="1" fillId="0" borderId="6" xfId="0" applyFont="1" applyBorder="1" applyAlignment="1" applyProtection="1">
      <alignment vertical="top"/>
      <protection hidden="1"/>
    </xf>
    <xf numFmtId="0" fontId="0" fillId="0" borderId="9" xfId="0" applyFont="1" applyBorder="1" applyAlignment="1" applyProtection="1">
      <protection hidden="1"/>
    </xf>
    <xf numFmtId="0" fontId="0" fillId="0" borderId="7" xfId="0" applyFont="1" applyBorder="1" applyAlignment="1" applyProtection="1">
      <protection hidden="1"/>
    </xf>
    <xf numFmtId="0" fontId="0" fillId="0" borderId="8" xfId="0" applyFont="1" applyBorder="1" applyProtection="1">
      <protection hidden="1"/>
    </xf>
    <xf numFmtId="0" fontId="0" fillId="0" borderId="3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0" fillId="0" borderId="7" xfId="0" applyFont="1" applyBorder="1" applyProtection="1">
      <protection hidden="1"/>
    </xf>
    <xf numFmtId="0" fontId="1" fillId="0" borderId="6" xfId="0" applyFont="1" applyBorder="1" applyAlignment="1" applyProtection="1">
      <alignment horizontal="left" vertical="top"/>
      <protection hidden="1"/>
    </xf>
    <xf numFmtId="0" fontId="0" fillId="17" borderId="15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2" fillId="0" borderId="8" xfId="0" applyFont="1" applyBorder="1" applyAlignment="1" applyProtection="1">
      <alignment horizontal="left" vertical="top"/>
      <protection hidden="1"/>
    </xf>
    <xf numFmtId="0" fontId="12" fillId="0" borderId="8" xfId="0" applyFont="1" applyBorder="1" applyAlignment="1" applyProtection="1">
      <alignment horizontal="left" vertical="top" wrapText="1"/>
      <protection hidden="1"/>
    </xf>
    <xf numFmtId="0" fontId="0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0" fillId="11" borderId="2" xfId="0" applyFill="1" applyBorder="1" applyProtection="1">
      <protection hidden="1"/>
    </xf>
    <xf numFmtId="0" fontId="6" fillId="11" borderId="31" xfId="0" applyFont="1" applyFill="1" applyBorder="1" applyProtection="1">
      <protection hidden="1"/>
    </xf>
    <xf numFmtId="0" fontId="1" fillId="11" borderId="31" xfId="0" applyFont="1" applyFill="1" applyBorder="1" applyProtection="1">
      <protection hidden="1"/>
    </xf>
    <xf numFmtId="0" fontId="1" fillId="11" borderId="31" xfId="0" applyFont="1" applyFill="1" applyBorder="1" applyAlignment="1" applyProtection="1">
      <alignment horizontal="center"/>
      <protection hidden="1"/>
    </xf>
    <xf numFmtId="0" fontId="0" fillId="11" borderId="39" xfId="0" applyFill="1" applyBorder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0" fillId="11" borderId="14" xfId="0" applyFill="1" applyBorder="1" applyProtection="1">
      <protection hidden="1"/>
    </xf>
    <xf numFmtId="0" fontId="0" fillId="11" borderId="15" xfId="0" applyFill="1" applyBorder="1" applyProtection="1">
      <protection hidden="1"/>
    </xf>
    <xf numFmtId="0" fontId="15" fillId="0" borderId="0" xfId="0" applyFont="1" applyBorder="1" applyProtection="1">
      <protection hidden="1"/>
    </xf>
    <xf numFmtId="0" fontId="12" fillId="0" borderId="8" xfId="0" applyFont="1" applyFill="1" applyBorder="1" applyProtection="1">
      <protection hidden="1"/>
    </xf>
    <xf numFmtId="0" fontId="12" fillId="0" borderId="9" xfId="0" applyFont="1" applyFill="1" applyBorder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Fill="1" applyBorder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19" fillId="0" borderId="0" xfId="0" applyFont="1" applyFill="1" applyBorder="1" applyProtection="1">
      <protection hidden="1"/>
    </xf>
    <xf numFmtId="0" fontId="21" fillId="0" borderId="9" xfId="0" applyFont="1" applyBorder="1" applyProtection="1">
      <protection hidden="1"/>
    </xf>
    <xf numFmtId="0" fontId="17" fillId="0" borderId="9" xfId="0" applyFont="1" applyBorder="1" applyAlignment="1" applyProtection="1">
      <alignment horizontal="left"/>
      <protection hidden="1"/>
    </xf>
    <xf numFmtId="0" fontId="17" fillId="0" borderId="0" xfId="0" applyFont="1" applyAlignment="1" applyProtection="1">
      <alignment horizontal="left"/>
      <protection hidden="1"/>
    </xf>
    <xf numFmtId="0" fontId="19" fillId="0" borderId="61" xfId="0" applyFont="1" applyFill="1" applyBorder="1" applyAlignment="1" applyProtection="1">
      <alignment horizontal="left"/>
      <protection hidden="1"/>
    </xf>
    <xf numFmtId="0" fontId="19" fillId="0" borderId="52" xfId="0" applyFont="1" applyBorder="1" applyProtection="1">
      <protection hidden="1"/>
    </xf>
    <xf numFmtId="0" fontId="19" fillId="0" borderId="58" xfId="0" applyFont="1" applyBorder="1" applyProtection="1">
      <protection hidden="1"/>
    </xf>
    <xf numFmtId="0" fontId="19" fillId="0" borderId="68" xfId="0" applyFont="1" applyFill="1" applyBorder="1" applyAlignment="1" applyProtection="1">
      <alignment horizontal="left"/>
      <protection hidden="1"/>
    </xf>
    <xf numFmtId="0" fontId="19" fillId="0" borderId="21" xfId="0" applyFont="1" applyBorder="1" applyProtection="1">
      <protection hidden="1"/>
    </xf>
    <xf numFmtId="0" fontId="19" fillId="0" borderId="22" xfId="0" applyFont="1" applyBorder="1" applyProtection="1">
      <protection hidden="1"/>
    </xf>
    <xf numFmtId="0" fontId="1" fillId="0" borderId="31" xfId="0" applyFont="1" applyBorder="1" applyAlignment="1" applyProtection="1">
      <alignment horizontal="left" vertical="top" wrapText="1"/>
      <protection hidden="1"/>
    </xf>
    <xf numFmtId="0" fontId="2" fillId="0" borderId="31" xfId="0" applyFont="1" applyBorder="1" applyProtection="1">
      <protection hidden="1"/>
    </xf>
    <xf numFmtId="0" fontId="0" fillId="19" borderId="24" xfId="0" applyFill="1" applyBorder="1"/>
    <xf numFmtId="0" fontId="0" fillId="2" borderId="20" xfId="0" applyFill="1" applyBorder="1"/>
    <xf numFmtId="0" fontId="0" fillId="20" borderId="20" xfId="0" applyFill="1" applyBorder="1"/>
    <xf numFmtId="166" fontId="0" fillId="0" borderId="0" xfId="0" applyNumberFormat="1" applyFill="1" applyBorder="1"/>
    <xf numFmtId="165" fontId="0" fillId="0" borderId="0" xfId="0" applyNumberFormat="1"/>
    <xf numFmtId="0" fontId="22" fillId="0" borderId="0" xfId="0" applyFont="1" applyProtection="1">
      <protection hidden="1"/>
    </xf>
    <xf numFmtId="0" fontId="5" fillId="0" borderId="0" xfId="0" applyFont="1"/>
    <xf numFmtId="0" fontId="5" fillId="0" borderId="0" xfId="0" applyFont="1" applyFill="1" applyBorder="1"/>
    <xf numFmtId="0" fontId="5" fillId="0" borderId="24" xfId="0" applyFont="1" applyBorder="1"/>
    <xf numFmtId="0" fontId="5" fillId="0" borderId="51" xfId="0" applyFont="1" applyFill="1" applyBorder="1"/>
    <xf numFmtId="0" fontId="5" fillId="0" borderId="51" xfId="0" applyFont="1" applyBorder="1"/>
    <xf numFmtId="0" fontId="5" fillId="0" borderId="52" xfId="0" applyFont="1" applyBorder="1"/>
    <xf numFmtId="0" fontId="0" fillId="21" borderId="0" xfId="0" applyFill="1"/>
    <xf numFmtId="0" fontId="24" fillId="0" borderId="20" xfId="0" applyNumberFormat="1" applyFont="1" applyFill="1" applyBorder="1" applyAlignment="1">
      <alignment horizontal="left" indent="1"/>
    </xf>
    <xf numFmtId="0" fontId="24" fillId="0" borderId="20" xfId="0" applyFont="1" applyBorder="1" applyAlignment="1">
      <alignment horizontal="left" indent="1"/>
    </xf>
    <xf numFmtId="0" fontId="24" fillId="0" borderId="51" xfId="0" applyFont="1" applyFill="1" applyBorder="1" applyAlignment="1">
      <alignment horizontal="left" indent="1"/>
    </xf>
    <xf numFmtId="0" fontId="24" fillId="0" borderId="20" xfId="0" applyFont="1" applyFill="1" applyBorder="1" applyAlignment="1">
      <alignment horizontal="left" indent="1"/>
    </xf>
    <xf numFmtId="0" fontId="24" fillId="6" borderId="20" xfId="0" applyFont="1" applyFill="1" applyBorder="1" applyAlignment="1">
      <alignment horizontal="left" indent="1"/>
    </xf>
    <xf numFmtId="0" fontId="25" fillId="0" borderId="20" xfId="0" applyFont="1" applyFill="1" applyBorder="1" applyAlignment="1">
      <alignment horizontal="left" inden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textRotation="90"/>
    </xf>
    <xf numFmtId="0" fontId="0" fillId="0" borderId="0" xfId="0" applyAlignment="1"/>
    <xf numFmtId="164" fontId="0" fillId="22" borderId="0" xfId="0" applyNumberFormat="1" applyFill="1"/>
    <xf numFmtId="0" fontId="5" fillId="0" borderId="2" xfId="0" applyFont="1" applyBorder="1"/>
    <xf numFmtId="0" fontId="5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0" fillId="0" borderId="57" xfId="0" applyBorder="1"/>
    <xf numFmtId="0" fontId="0" fillId="0" borderId="27" xfId="0" applyBorder="1"/>
    <xf numFmtId="0" fontId="26" fillId="0" borderId="0" xfId="0" applyFont="1"/>
    <xf numFmtId="0" fontId="0" fillId="22" borderId="0" xfId="0" applyFill="1"/>
    <xf numFmtId="164" fontId="0" fillId="0" borderId="0" xfId="0" applyNumberFormat="1" applyFill="1"/>
    <xf numFmtId="0" fontId="0" fillId="23" borderId="0" xfId="0" applyFill="1" applyAlignment="1"/>
    <xf numFmtId="164" fontId="0" fillId="0" borderId="0" xfId="0" applyNumberFormat="1" applyFill="1" applyBorder="1"/>
    <xf numFmtId="0" fontId="0" fillId="0" borderId="0" xfId="0" applyAlignment="1">
      <alignment horizontal="center" textRotation="90"/>
    </xf>
    <xf numFmtId="0" fontId="0" fillId="22" borderId="33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22" borderId="33" xfId="0" applyFill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22" borderId="37" xfId="0" applyFill="1" applyBorder="1" applyAlignment="1">
      <alignment horizontal="center"/>
    </xf>
    <xf numFmtId="0" fontId="0" fillId="0" borderId="37" xfId="0" applyBorder="1" applyAlignment="1">
      <alignment horizontal="center"/>
    </xf>
    <xf numFmtId="164" fontId="0" fillId="0" borderId="37" xfId="0" applyNumberFormat="1" applyBorder="1"/>
    <xf numFmtId="0" fontId="0" fillId="22" borderId="37" xfId="0" applyFill="1" applyBorder="1"/>
    <xf numFmtId="0" fontId="0" fillId="0" borderId="24" xfId="0" applyBorder="1" applyAlignment="1">
      <alignment textRotation="90"/>
    </xf>
    <xf numFmtId="164" fontId="0" fillId="0" borderId="51" xfId="0" applyNumberFormat="1" applyBorder="1"/>
    <xf numFmtId="164" fontId="0" fillId="0" borderId="52" xfId="0" applyNumberFormat="1" applyBorder="1"/>
    <xf numFmtId="0" fontId="27" fillId="11" borderId="14" xfId="0" applyFont="1" applyFill="1" applyBorder="1" applyProtection="1">
      <protection hidden="1"/>
    </xf>
    <xf numFmtId="0" fontId="0" fillId="0" borderId="32" xfId="0" applyBorder="1" applyAlignment="1">
      <alignment horizontal="left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/>
    <xf numFmtId="0" fontId="0" fillId="0" borderId="56" xfId="0" applyBorder="1" applyAlignment="1">
      <alignment horizontal="right"/>
    </xf>
    <xf numFmtId="0" fontId="0" fillId="0" borderId="27" xfId="0" applyBorder="1" applyAlignment="1">
      <alignment horizontal="center"/>
    </xf>
    <xf numFmtId="0" fontId="2" fillId="0" borderId="0" xfId="0" applyFont="1" applyBorder="1"/>
    <xf numFmtId="0" fontId="27" fillId="0" borderId="0" xfId="0" applyFont="1" applyFill="1" applyBorder="1" applyProtection="1">
      <protection hidden="1"/>
    </xf>
    <xf numFmtId="0" fontId="1" fillId="0" borderId="32" xfId="0" applyFont="1" applyBorder="1" applyAlignment="1">
      <alignment horizontal="left"/>
    </xf>
    <xf numFmtId="0" fontId="26" fillId="0" borderId="60" xfId="0" applyFont="1" applyBorder="1" applyAlignment="1" applyProtection="1">
      <alignment horizontal="left" vertical="top"/>
      <protection hidden="1"/>
    </xf>
    <xf numFmtId="0" fontId="12" fillId="0" borderId="31" xfId="0" applyFont="1" applyBorder="1" applyAlignment="1" applyProtection="1">
      <alignment horizontal="left" vertical="top"/>
      <protection hidden="1"/>
    </xf>
    <xf numFmtId="0" fontId="12" fillId="0" borderId="31" xfId="0" applyFont="1" applyBorder="1" applyAlignment="1" applyProtection="1">
      <alignment horizontal="left" vertical="top" wrapText="1"/>
      <protection hidden="1"/>
    </xf>
    <xf numFmtId="0" fontId="23" fillId="0" borderId="24" xfId="0" applyFont="1" applyFill="1" applyBorder="1" applyAlignment="1">
      <alignment horizontal="left" vertical="center"/>
    </xf>
    <xf numFmtId="0" fontId="23" fillId="0" borderId="52" xfId="0" applyFont="1" applyFill="1" applyBorder="1" applyAlignment="1">
      <alignment horizontal="left" vertical="center"/>
    </xf>
    <xf numFmtId="0" fontId="28" fillId="0" borderId="0" xfId="1"/>
    <xf numFmtId="49" fontId="0" fillId="0" borderId="0" xfId="0" applyNumberFormat="1"/>
    <xf numFmtId="0" fontId="24" fillId="0" borderId="52" xfId="0" applyFont="1" applyBorder="1" applyAlignment="1">
      <alignment horizontal="left" indent="1"/>
    </xf>
    <xf numFmtId="0" fontId="0" fillId="24" borderId="0" xfId="0" applyFill="1" applyAlignment="1">
      <alignment horizontal="right"/>
    </xf>
    <xf numFmtId="0" fontId="0" fillId="24" borderId="0" xfId="0" applyFill="1"/>
    <xf numFmtId="0" fontId="1" fillId="0" borderId="20" xfId="0" applyFont="1" applyBorder="1"/>
    <xf numFmtId="1" fontId="0" fillId="0" borderId="5" xfId="0" applyNumberFormat="1" applyBorder="1"/>
    <xf numFmtId="1" fontId="0" fillId="0" borderId="6" xfId="0" applyNumberFormat="1" applyBorder="1"/>
    <xf numFmtId="1" fontId="0" fillId="0" borderId="0" xfId="0" applyNumberFormat="1" applyAlignment="1">
      <alignment horizontal="left" indent="6"/>
    </xf>
    <xf numFmtId="0" fontId="2" fillId="0" borderId="33" xfId="0" applyFont="1" applyBorder="1" applyAlignment="1">
      <alignment horizontal="left"/>
    </xf>
    <xf numFmtId="0" fontId="28" fillId="24" borderId="0" xfId="1" applyFill="1"/>
    <xf numFmtId="0" fontId="0" fillId="0" borderId="0" xfId="0" applyNumberFormat="1" applyAlignment="1">
      <alignment horizontal="center"/>
    </xf>
    <xf numFmtId="0" fontId="0" fillId="0" borderId="39" xfId="0" applyFill="1" applyBorder="1"/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29" xfId="0" applyBorder="1"/>
    <xf numFmtId="0" fontId="1" fillId="0" borderId="2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6" xfId="0" applyFont="1" applyBorder="1"/>
    <xf numFmtId="0" fontId="16" fillId="0" borderId="4" xfId="0" applyFont="1" applyBorder="1"/>
    <xf numFmtId="0" fontId="1" fillId="0" borderId="5" xfId="0" applyFont="1" applyBorder="1"/>
    <xf numFmtId="0" fontId="12" fillId="0" borderId="39" xfId="0" applyFont="1" applyBorder="1" applyAlignment="1" applyProtection="1">
      <alignment horizontal="left" vertical="top" wrapText="1"/>
      <protection hidden="1"/>
    </xf>
    <xf numFmtId="0" fontId="0" fillId="25" borderId="1" xfId="0" applyFill="1" applyBorder="1"/>
    <xf numFmtId="0" fontId="0" fillId="25" borderId="15" xfId="0" applyFill="1" applyBorder="1"/>
    <xf numFmtId="0" fontId="0" fillId="8" borderId="0" xfId="0" applyFill="1"/>
    <xf numFmtId="0" fontId="0" fillId="25" borderId="13" xfId="0" applyFill="1" applyBorder="1"/>
    <xf numFmtId="0" fontId="0" fillId="25" borderId="20" xfId="0" applyFill="1" applyBorder="1"/>
    <xf numFmtId="1" fontId="0" fillId="25" borderId="20" xfId="0" applyNumberFormat="1" applyFill="1" applyBorder="1"/>
    <xf numFmtId="1" fontId="0" fillId="25" borderId="0" xfId="0" applyNumberFormat="1" applyFill="1" applyBorder="1"/>
    <xf numFmtId="1" fontId="0" fillId="0" borderId="4" xfId="0" applyNumberFormat="1" applyBorder="1"/>
    <xf numFmtId="1" fontId="0" fillId="25" borderId="1" xfId="0" applyNumberFormat="1" applyFill="1" applyBorder="1"/>
    <xf numFmtId="0" fontId="29" fillId="0" borderId="0" xfId="0" applyFont="1"/>
    <xf numFmtId="0" fontId="15" fillId="0" borderId="0" xfId="0" applyFont="1"/>
    <xf numFmtId="0" fontId="30" fillId="0" borderId="0" xfId="0" applyFont="1" applyBorder="1" applyAlignment="1">
      <alignment horizontal="left"/>
    </xf>
    <xf numFmtId="0" fontId="22" fillId="0" borderId="4" xfId="0" applyFont="1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52" xfId="0" applyFont="1" applyBorder="1" applyAlignment="1">
      <alignment horizontal="left"/>
    </xf>
    <xf numFmtId="0" fontId="24" fillId="0" borderId="20" xfId="0" applyNumberFormat="1" applyFont="1" applyFill="1" applyBorder="1" applyAlignment="1">
      <alignment horizontal="left" vertical="center"/>
    </xf>
    <xf numFmtId="43" fontId="0" fillId="0" borderId="0" xfId="2" applyFont="1" applyAlignment="1">
      <alignment horizontal="left"/>
    </xf>
    <xf numFmtId="0" fontId="0" fillId="0" borderId="0" xfId="0" applyAlignment="1">
      <alignment horizontal="center" vertical="center"/>
    </xf>
    <xf numFmtId="0" fontId="0" fillId="10" borderId="0" xfId="0" applyFill="1"/>
    <xf numFmtId="0" fontId="0" fillId="10" borderId="0" xfId="0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30" fillId="0" borderId="0" xfId="0" applyFont="1" applyBorder="1"/>
    <xf numFmtId="0" fontId="32" fillId="0" borderId="0" xfId="0" applyFont="1"/>
    <xf numFmtId="0" fontId="33" fillId="0" borderId="0" xfId="0" applyFont="1"/>
    <xf numFmtId="0" fontId="11" fillId="0" borderId="0" xfId="0" applyFont="1" applyFill="1" applyBorder="1"/>
    <xf numFmtId="0" fontId="1" fillId="11" borderId="0" xfId="0" applyFont="1" applyFill="1" applyBorder="1" applyProtection="1">
      <protection hidden="1"/>
    </xf>
    <xf numFmtId="0" fontId="33" fillId="0" borderId="0" xfId="0" applyFont="1" applyFill="1"/>
    <xf numFmtId="0" fontId="5" fillId="0" borderId="0" xfId="0" applyFont="1" applyFill="1"/>
    <xf numFmtId="0" fontId="22" fillId="0" borderId="34" xfId="0" applyFont="1" applyBorder="1"/>
    <xf numFmtId="0" fontId="22" fillId="0" borderId="36" xfId="0" applyFont="1" applyBorder="1"/>
    <xf numFmtId="0" fontId="34" fillId="0" borderId="32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35" fillId="0" borderId="32" xfId="0" applyFont="1" applyBorder="1" applyAlignment="1">
      <alignment horizontal="left"/>
    </xf>
    <xf numFmtId="0" fontId="0" fillId="0" borderId="35" xfId="0" applyBorder="1" applyAlignment="1">
      <alignment horizontal="right"/>
    </xf>
    <xf numFmtId="0" fontId="22" fillId="0" borderId="37" xfId="0" applyFont="1" applyBorder="1"/>
    <xf numFmtId="2" fontId="22" fillId="0" borderId="38" xfId="0" applyNumberFormat="1" applyFont="1" applyBorder="1" applyAlignment="1">
      <alignment horizontal="right"/>
    </xf>
    <xf numFmtId="0" fontId="22" fillId="0" borderId="0" xfId="0" applyFont="1"/>
    <xf numFmtId="0" fontId="22" fillId="0" borderId="34" xfId="0" applyFont="1" applyBorder="1" applyAlignment="1">
      <alignment horizontal="left"/>
    </xf>
    <xf numFmtId="0" fontId="22" fillId="0" borderId="36" xfId="0" applyFont="1" applyBorder="1" applyAlignment="1">
      <alignment horizontal="left"/>
    </xf>
    <xf numFmtId="0" fontId="36" fillId="0" borderId="0" xfId="0" applyFont="1"/>
    <xf numFmtId="0" fontId="22" fillId="0" borderId="57" xfId="0" applyFont="1" applyBorder="1"/>
    <xf numFmtId="0" fontId="22" fillId="0" borderId="0" xfId="0" applyFont="1" applyAlignment="1" applyProtection="1">
      <protection hidden="1"/>
    </xf>
    <xf numFmtId="0" fontId="22" fillId="0" borderId="35" xfId="0" applyFont="1" applyBorder="1"/>
    <xf numFmtId="0" fontId="22" fillId="0" borderId="38" xfId="0" applyFont="1" applyBorder="1"/>
    <xf numFmtId="0" fontId="22" fillId="0" borderId="33" xfId="0" applyFont="1" applyBorder="1" applyAlignment="1">
      <alignment horizontal="right"/>
    </xf>
    <xf numFmtId="0" fontId="22" fillId="0" borderId="28" xfId="0" applyFont="1" applyBorder="1"/>
    <xf numFmtId="0" fontId="22" fillId="0" borderId="0" xfId="0" applyFont="1" applyBorder="1" applyAlignment="1">
      <alignment horizontal="left"/>
    </xf>
    <xf numFmtId="0" fontId="22" fillId="0" borderId="37" xfId="0" applyFont="1" applyBorder="1" applyAlignment="1">
      <alignment horizontal="left"/>
    </xf>
    <xf numFmtId="0" fontId="37" fillId="0" borderId="32" xfId="0" applyFont="1" applyBorder="1" applyAlignment="1">
      <alignment horizontal="left"/>
    </xf>
    <xf numFmtId="0" fontId="2" fillId="0" borderId="6" xfId="0" applyFont="1" applyBorder="1"/>
    <xf numFmtId="0" fontId="38" fillId="0" borderId="0" xfId="0" applyFont="1"/>
    <xf numFmtId="0" fontId="39" fillId="0" borderId="0" xfId="3" applyFont="1"/>
    <xf numFmtId="0" fontId="40" fillId="0" borderId="0" xfId="3" applyFont="1"/>
    <xf numFmtId="0" fontId="40" fillId="26" borderId="68" xfId="3" applyFont="1" applyFill="1" applyBorder="1"/>
    <xf numFmtId="0" fontId="39" fillId="26" borderId="21" xfId="3" applyFont="1" applyFill="1" applyBorder="1"/>
    <xf numFmtId="0" fontId="39" fillId="26" borderId="22" xfId="3" applyFont="1" applyFill="1" applyBorder="1"/>
    <xf numFmtId="0" fontId="40" fillId="26" borderId="21" xfId="3" applyFont="1" applyFill="1" applyBorder="1" applyAlignment="1">
      <alignment horizontal="right"/>
    </xf>
    <xf numFmtId="0" fontId="39" fillId="0" borderId="63" xfId="3" applyFont="1" applyBorder="1"/>
    <xf numFmtId="0" fontId="40" fillId="0" borderId="20" xfId="3" applyFont="1" applyBorder="1" applyAlignment="1">
      <alignment horizontal="right"/>
    </xf>
    <xf numFmtId="0" fontId="40" fillId="27" borderId="20" xfId="3" applyFont="1" applyFill="1" applyBorder="1"/>
    <xf numFmtId="0" fontId="39" fillId="0" borderId="23" xfId="3" applyFont="1" applyBorder="1"/>
    <xf numFmtId="0" fontId="39" fillId="0" borderId="20" xfId="3" applyFont="1" applyBorder="1" applyAlignment="1">
      <alignment horizontal="right"/>
    </xf>
    <xf numFmtId="3" fontId="39" fillId="0" borderId="20" xfId="3" applyNumberFormat="1" applyFont="1" applyBorder="1"/>
    <xf numFmtId="0" fontId="39" fillId="0" borderId="20" xfId="3" applyFont="1" applyBorder="1"/>
    <xf numFmtId="0" fontId="39" fillId="0" borderId="0" xfId="3" applyFont="1" applyFill="1" applyBorder="1"/>
    <xf numFmtId="167" fontId="39" fillId="0" borderId="20" xfId="3" applyNumberFormat="1" applyFont="1" applyBorder="1"/>
    <xf numFmtId="0" fontId="41" fillId="0" borderId="63" xfId="3" applyFont="1" applyBorder="1"/>
    <xf numFmtId="0" fontId="41" fillId="0" borderId="20" xfId="3" applyFont="1" applyBorder="1" applyAlignment="1">
      <alignment horizontal="right"/>
    </xf>
    <xf numFmtId="167" fontId="41" fillId="0" borderId="20" xfId="3" applyNumberFormat="1" applyFont="1" applyBorder="1"/>
    <xf numFmtId="0" fontId="41" fillId="0" borderId="23" xfId="3" applyFont="1" applyBorder="1"/>
    <xf numFmtId="2" fontId="40" fillId="28" borderId="20" xfId="3" applyNumberFormat="1" applyFont="1" applyFill="1" applyBorder="1" applyAlignment="1">
      <alignment horizontal="right"/>
    </xf>
    <xf numFmtId="2" fontId="40" fillId="0" borderId="0" xfId="3" applyNumberFormat="1" applyFont="1" applyFill="1" applyBorder="1"/>
    <xf numFmtId="0" fontId="39" fillId="0" borderId="44" xfId="3" applyFont="1" applyBorder="1"/>
    <xf numFmtId="0" fontId="40" fillId="0" borderId="42" xfId="3" applyFont="1" applyBorder="1" applyAlignment="1">
      <alignment horizontal="right"/>
    </xf>
    <xf numFmtId="0" fontId="39" fillId="0" borderId="42" xfId="3" applyFont="1" applyBorder="1"/>
    <xf numFmtId="0" fontId="39" fillId="0" borderId="45" xfId="3" applyFont="1" applyBorder="1"/>
    <xf numFmtId="2" fontId="40" fillId="28" borderId="42" xfId="3" applyNumberFormat="1" applyFont="1" applyFill="1" applyBorder="1" applyAlignment="1">
      <alignment horizontal="right"/>
    </xf>
    <xf numFmtId="0" fontId="40" fillId="0" borderId="0" xfId="3" applyFont="1" applyAlignment="1">
      <alignment horizontal="right"/>
    </xf>
    <xf numFmtId="167" fontId="40" fillId="0" borderId="0" xfId="3" applyNumberFormat="1" applyFont="1"/>
    <xf numFmtId="0" fontId="23" fillId="29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4" fillId="26" borderId="0" xfId="0" applyFont="1" applyFill="1" applyBorder="1" applyAlignment="1">
      <alignment horizontal="center" vertical="center" wrapText="1"/>
    </xf>
    <xf numFmtId="0" fontId="24" fillId="26" borderId="0" xfId="0" applyFont="1" applyFill="1" applyBorder="1" applyAlignment="1">
      <alignment vertical="center" wrapText="1"/>
    </xf>
    <xf numFmtId="0" fontId="42" fillId="0" borderId="0" xfId="0" applyFont="1" applyAlignment="1"/>
    <xf numFmtId="0" fontId="43" fillId="0" borderId="0" xfId="3" applyFont="1" applyBorder="1"/>
    <xf numFmtId="0" fontId="39" fillId="0" borderId="0" xfId="3" applyFont="1" applyBorder="1"/>
    <xf numFmtId="0" fontId="43" fillId="0" borderId="0" xfId="3" applyFont="1"/>
    <xf numFmtId="0" fontId="46" fillId="0" borderId="0" xfId="0" applyFont="1"/>
    <xf numFmtId="0" fontId="42" fillId="0" borderId="0" xfId="0" applyFont="1"/>
    <xf numFmtId="0" fontId="47" fillId="0" borderId="0" xfId="0" applyFont="1"/>
    <xf numFmtId="2" fontId="40" fillId="27" borderId="20" xfId="3" applyNumberFormat="1" applyFont="1" applyFill="1" applyBorder="1"/>
    <xf numFmtId="0" fontId="0" fillId="0" borderId="0" xfId="0" applyAlignment="1">
      <alignment wrapText="1"/>
    </xf>
    <xf numFmtId="0" fontId="24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24" fillId="26" borderId="0" xfId="0" applyFont="1" applyFill="1" applyBorder="1" applyAlignment="1">
      <alignment horizontal="center" vertical="center" wrapText="1"/>
    </xf>
    <xf numFmtId="0" fontId="23" fillId="29" borderId="0" xfId="0" applyFont="1" applyFill="1" applyBorder="1" applyAlignment="1">
      <alignment vertical="center" wrapText="1"/>
    </xf>
    <xf numFmtId="0" fontId="39" fillId="0" borderId="0" xfId="3" applyFont="1" applyFill="1"/>
    <xf numFmtId="0" fontId="39" fillId="8" borderId="0" xfId="3" applyFont="1" applyFill="1" applyBorder="1"/>
    <xf numFmtId="164" fontId="42" fillId="8" borderId="0" xfId="0" applyNumberFormat="1" applyFont="1" applyFill="1" applyBorder="1" applyAlignment="1">
      <alignment horizontal="center"/>
    </xf>
    <xf numFmtId="0" fontId="40" fillId="8" borderId="0" xfId="3" applyFont="1" applyFill="1" applyBorder="1"/>
    <xf numFmtId="1" fontId="42" fillId="8" borderId="0" xfId="0" applyNumberFormat="1" applyFont="1" applyFill="1" applyBorder="1" applyAlignment="1">
      <alignment horizontal="center"/>
    </xf>
    <xf numFmtId="0" fontId="42" fillId="8" borderId="0" xfId="0" applyFont="1" applyFill="1" applyBorder="1" applyAlignment="1">
      <alignment horizontal="center"/>
    </xf>
    <xf numFmtId="3" fontId="42" fillId="8" borderId="0" xfId="0" applyNumberFormat="1" applyFont="1" applyFill="1" applyBorder="1" applyAlignment="1">
      <alignment horizontal="center"/>
    </xf>
    <xf numFmtId="3" fontId="42" fillId="8" borderId="0" xfId="0" quotePrefix="1" applyNumberFormat="1" applyFont="1" applyFill="1" applyBorder="1" applyAlignment="1">
      <alignment horizontal="center"/>
    </xf>
    <xf numFmtId="168" fontId="42" fillId="8" borderId="0" xfId="0" applyNumberFormat="1" applyFont="1" applyFill="1" applyBorder="1" applyAlignment="1">
      <alignment horizontal="center"/>
    </xf>
    <xf numFmtId="0" fontId="0" fillId="8" borderId="0" xfId="0" applyFill="1" applyBorder="1"/>
    <xf numFmtId="0" fontId="47" fillId="8" borderId="0" xfId="0" applyFont="1" applyFill="1" applyBorder="1"/>
    <xf numFmtId="0" fontId="42" fillId="8" borderId="0" xfId="0" applyFont="1" applyFill="1" applyBorder="1"/>
    <xf numFmtId="0" fontId="48" fillId="0" borderId="0" xfId="0" applyFont="1" applyAlignment="1">
      <alignment vertical="center"/>
    </xf>
    <xf numFmtId="0" fontId="39" fillId="0" borderId="1" xfId="3" applyFont="1" applyBorder="1"/>
    <xf numFmtId="1" fontId="42" fillId="0" borderId="0" xfId="0" applyNumberFormat="1" applyFont="1"/>
    <xf numFmtId="0" fontId="42" fillId="0" borderId="28" xfId="0" applyFont="1" applyBorder="1" applyAlignment="1">
      <alignment horizontal="center"/>
    </xf>
    <xf numFmtId="164" fontId="42" fillId="0" borderId="27" xfId="0" applyNumberFormat="1" applyFont="1" applyBorder="1" applyAlignment="1">
      <alignment horizontal="center"/>
    </xf>
    <xf numFmtId="3" fontId="42" fillId="30" borderId="20" xfId="0" applyNumberFormat="1" applyFont="1" applyFill="1" applyBorder="1" applyAlignment="1">
      <alignment horizontal="center"/>
    </xf>
    <xf numFmtId="168" fontId="42" fillId="30" borderId="20" xfId="0" applyNumberFormat="1" applyFont="1" applyFill="1" applyBorder="1" applyAlignment="1">
      <alignment horizontal="center"/>
    </xf>
    <xf numFmtId="0" fontId="42" fillId="0" borderId="2" xfId="0" applyFont="1" applyBorder="1"/>
    <xf numFmtId="0" fontId="42" fillId="0" borderId="3" xfId="0" applyFont="1" applyBorder="1" applyAlignment="1">
      <alignment horizontal="left"/>
    </xf>
    <xf numFmtId="0" fontId="42" fillId="0" borderId="0" xfId="0" applyFont="1" applyBorder="1"/>
    <xf numFmtId="3" fontId="42" fillId="0" borderId="20" xfId="0" applyNumberFormat="1" applyFont="1" applyBorder="1" applyAlignment="1">
      <alignment horizontal="center"/>
    </xf>
    <xf numFmtId="168" fontId="42" fillId="0" borderId="20" xfId="0" applyNumberFormat="1" applyFont="1" applyBorder="1" applyAlignment="1">
      <alignment horizontal="center"/>
    </xf>
    <xf numFmtId="0" fontId="42" fillId="0" borderId="4" xfId="0" applyFont="1" applyBorder="1"/>
    <xf numFmtId="0" fontId="42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3" fontId="42" fillId="31" borderId="20" xfId="0" applyNumberFormat="1" applyFont="1" applyFill="1" applyBorder="1" applyAlignment="1">
      <alignment horizontal="center"/>
    </xf>
    <xf numFmtId="3" fontId="42" fillId="31" borderId="20" xfId="0" quotePrefix="1" applyNumberFormat="1" applyFont="1" applyFill="1" applyBorder="1" applyAlignment="1">
      <alignment horizontal="center"/>
    </xf>
    <xf numFmtId="168" fontId="42" fillId="31" borderId="20" xfId="0" applyNumberFormat="1" applyFont="1" applyFill="1" applyBorder="1" applyAlignment="1">
      <alignment horizontal="center"/>
    </xf>
    <xf numFmtId="3" fontId="42" fillId="30" borderId="20" xfId="0" quotePrefix="1" applyNumberFormat="1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169" fontId="0" fillId="0" borderId="0" xfId="0" applyNumberFormat="1"/>
    <xf numFmtId="0" fontId="42" fillId="0" borderId="0" xfId="0" applyFont="1" applyAlignment="1">
      <alignment horizontal="left"/>
    </xf>
    <xf numFmtId="0" fontId="17" fillId="0" borderId="0" xfId="0" applyFont="1"/>
    <xf numFmtId="165" fontId="1" fillId="0" borderId="0" xfId="0" applyNumberFormat="1" applyFont="1"/>
    <xf numFmtId="0" fontId="33" fillId="2" borderId="20" xfId="0" applyFont="1" applyFill="1" applyBorder="1"/>
    <xf numFmtId="166" fontId="42" fillId="0" borderId="0" xfId="0" applyNumberFormat="1" applyFont="1" applyAlignment="1">
      <alignment horizontal="center"/>
    </xf>
    <xf numFmtId="0" fontId="6" fillId="0" borderId="0" xfId="0" applyFont="1" applyBorder="1"/>
    <xf numFmtId="0" fontId="33" fillId="8" borderId="0" xfId="0" applyFont="1" applyFill="1" applyBorder="1"/>
    <xf numFmtId="0" fontId="6" fillId="8" borderId="0" xfId="0" applyFont="1" applyFill="1" applyBorder="1"/>
    <xf numFmtId="0" fontId="4" fillId="0" borderId="0" xfId="0" applyFont="1" applyBorder="1" applyAlignment="1">
      <alignment horizontal="right"/>
    </xf>
    <xf numFmtId="0" fontId="0" fillId="8" borderId="0" xfId="0" applyFill="1" applyBorder="1" applyAlignment="1">
      <alignment horizontal="right"/>
    </xf>
    <xf numFmtId="165" fontId="0" fillId="0" borderId="0" xfId="0" applyNumberFormat="1" applyBorder="1"/>
    <xf numFmtId="165" fontId="0" fillId="0" borderId="0" xfId="0" applyNumberFormat="1" applyBorder="1" applyAlignment="1">
      <alignment horizontal="right"/>
    </xf>
    <xf numFmtId="165" fontId="49" fillId="0" borderId="0" xfId="0" applyNumberFormat="1" applyFont="1" applyBorder="1" applyAlignment="1">
      <alignment horizontal="right"/>
    </xf>
    <xf numFmtId="2" fontId="22" fillId="0" borderId="28" xfId="0" applyNumberFormat="1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4" fontId="1" fillId="0" borderId="0" xfId="0" applyNumberFormat="1" applyFont="1" applyBorder="1" applyAlignment="1" applyProtection="1">
      <alignment horizontal="right"/>
      <protection hidden="1"/>
    </xf>
    <xf numFmtId="0" fontId="22" fillId="11" borderId="20" xfId="0" applyFont="1" applyFill="1" applyBorder="1" applyAlignment="1">
      <alignment horizontal="center"/>
    </xf>
    <xf numFmtId="0" fontId="16" fillId="11" borderId="20" xfId="0" applyFont="1" applyFill="1" applyBorder="1" applyAlignment="1">
      <alignment horizontal="center"/>
    </xf>
    <xf numFmtId="0" fontId="0" fillId="11" borderId="36" xfId="0" applyFill="1" applyBorder="1"/>
    <xf numFmtId="0" fontId="0" fillId="11" borderId="37" xfId="0" applyFill="1" applyBorder="1"/>
    <xf numFmtId="0" fontId="0" fillId="11" borderId="0" xfId="0" applyFill="1"/>
    <xf numFmtId="2" fontId="0" fillId="11" borderId="1" xfId="0" applyNumberFormat="1" applyFill="1" applyBorder="1"/>
    <xf numFmtId="0" fontId="0" fillId="11" borderId="1" xfId="0" applyFill="1" applyBorder="1"/>
    <xf numFmtId="0" fontId="0" fillId="11" borderId="10" xfId="0" applyFill="1" applyBorder="1"/>
    <xf numFmtId="0" fontId="0" fillId="11" borderId="11" xfId="0" applyFill="1" applyBorder="1"/>
    <xf numFmtId="0" fontId="0" fillId="11" borderId="12" xfId="0" applyFill="1" applyBorder="1"/>
    <xf numFmtId="0" fontId="0" fillId="11" borderId="41" xfId="0" applyFill="1" applyBorder="1"/>
    <xf numFmtId="0" fontId="28" fillId="2" borderId="60" xfId="1" applyFill="1" applyBorder="1"/>
    <xf numFmtId="0" fontId="0" fillId="2" borderId="31" xfId="0" applyFill="1" applyBorder="1"/>
    <xf numFmtId="0" fontId="1" fillId="2" borderId="31" xfId="0" applyFont="1" applyFill="1" applyBorder="1"/>
    <xf numFmtId="0" fontId="1" fillId="2" borderId="39" xfId="0" applyFont="1" applyFill="1" applyBorder="1"/>
    <xf numFmtId="0" fontId="28" fillId="2" borderId="6" xfId="1" applyFill="1" applyBorder="1"/>
    <xf numFmtId="0" fontId="0" fillId="2" borderId="9" xfId="0" applyFill="1" applyBorder="1"/>
    <xf numFmtId="0" fontId="1" fillId="2" borderId="9" xfId="0" applyFont="1" applyFill="1" applyBorder="1"/>
    <xf numFmtId="0" fontId="1" fillId="2" borderId="7" xfId="0" applyFont="1" applyFill="1" applyBorder="1"/>
    <xf numFmtId="0" fontId="0" fillId="2" borderId="0" xfId="0" applyFill="1"/>
    <xf numFmtId="0" fontId="0" fillId="2" borderId="0" xfId="0" applyFill="1" applyAlignment="1"/>
    <xf numFmtId="0" fontId="1" fillId="2" borderId="0" xfId="0" applyFont="1" applyFill="1"/>
    <xf numFmtId="0" fontId="1" fillId="2" borderId="37" xfId="0" applyFont="1" applyFill="1" applyBorder="1"/>
    <xf numFmtId="4" fontId="1" fillId="2" borderId="37" xfId="0" applyNumberFormat="1" applyFont="1" applyFill="1" applyBorder="1" applyAlignment="1"/>
    <xf numFmtId="1" fontId="1" fillId="2" borderId="33" xfId="0" applyNumberFormat="1" applyFont="1" applyFill="1" applyBorder="1" applyAlignment="1">
      <alignment horizontal="center"/>
    </xf>
    <xf numFmtId="0" fontId="1" fillId="2" borderId="33" xfId="0" applyFont="1" applyFill="1" applyBorder="1"/>
    <xf numFmtId="0" fontId="0" fillId="2" borderId="33" xfId="0" applyFill="1" applyBorder="1"/>
    <xf numFmtId="1" fontId="1" fillId="2" borderId="0" xfId="0" applyNumberFormat="1" applyFont="1" applyFill="1" applyAlignment="1">
      <alignment horizontal="center"/>
    </xf>
    <xf numFmtId="0" fontId="1" fillId="2" borderId="0" xfId="0" applyFont="1" applyFill="1" applyBorder="1"/>
    <xf numFmtId="0" fontId="29" fillId="0" borderId="0" xfId="0" applyFont="1" applyAlignment="1">
      <alignment horizontal="right"/>
    </xf>
    <xf numFmtId="2" fontId="22" fillId="2" borderId="20" xfId="0" applyNumberFormat="1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right"/>
    </xf>
    <xf numFmtId="1" fontId="22" fillId="2" borderId="20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1" fillId="2" borderId="6" xfId="0" applyFont="1" applyFill="1" applyBorder="1" applyProtection="1">
      <protection hidden="1"/>
    </xf>
    <xf numFmtId="4" fontId="4" fillId="2" borderId="3" xfId="0" applyNumberFormat="1" applyFont="1" applyFill="1" applyBorder="1" applyProtection="1">
      <protection hidden="1"/>
    </xf>
    <xf numFmtId="1" fontId="1" fillId="2" borderId="69" xfId="0" applyNumberFormat="1" applyFont="1" applyFill="1" applyBorder="1" applyProtection="1">
      <protection hidden="1"/>
    </xf>
    <xf numFmtId="1" fontId="1" fillId="2" borderId="70" xfId="0" applyNumberFormat="1" applyFont="1" applyFill="1" applyBorder="1" applyProtection="1">
      <protection hidden="1"/>
    </xf>
    <xf numFmtId="4" fontId="1" fillId="2" borderId="3" xfId="0" applyNumberFormat="1" applyFont="1" applyFill="1" applyBorder="1" applyProtection="1">
      <protection hidden="1"/>
    </xf>
    <xf numFmtId="1" fontId="1" fillId="2" borderId="71" xfId="0" applyNumberFormat="1" applyFont="1" applyFill="1" applyBorder="1" applyProtection="1">
      <protection hidden="1"/>
    </xf>
    <xf numFmtId="0" fontId="0" fillId="2" borderId="67" xfId="0" applyFill="1" applyBorder="1" applyProtection="1">
      <protection hidden="1"/>
    </xf>
    <xf numFmtId="0" fontId="0" fillId="2" borderId="43" xfId="0" applyFill="1" applyBorder="1" applyProtection="1">
      <protection hidden="1"/>
    </xf>
    <xf numFmtId="164" fontId="1" fillId="2" borderId="43" xfId="0" applyNumberFormat="1" applyFont="1" applyFill="1" applyBorder="1" applyAlignment="1" applyProtection="1">
      <alignment horizontal="center"/>
      <protection hidden="1"/>
    </xf>
    <xf numFmtId="164" fontId="1" fillId="2" borderId="43" xfId="0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2" fontId="1" fillId="2" borderId="43" xfId="0" applyNumberFormat="1" applyFont="1" applyFill="1" applyBorder="1" applyAlignment="1" applyProtection="1">
      <alignment horizontal="center"/>
      <protection hidden="1"/>
    </xf>
    <xf numFmtId="0" fontId="1" fillId="11" borderId="14" xfId="0" applyFont="1" applyFill="1" applyBorder="1" applyAlignment="1" applyProtection="1">
      <alignment horizontal="center" textRotation="90"/>
      <protection hidden="1"/>
    </xf>
    <xf numFmtId="0" fontId="1" fillId="0" borderId="14" xfId="0" applyFont="1" applyBorder="1" applyAlignment="1" applyProtection="1">
      <protection hidden="1"/>
    </xf>
    <xf numFmtId="0" fontId="1" fillId="10" borderId="2" xfId="0" applyFont="1" applyFill="1" applyBorder="1" applyAlignment="1" applyProtection="1">
      <alignment horizontal="center" vertical="center" textRotation="90"/>
      <protection hidden="1"/>
    </xf>
    <xf numFmtId="0" fontId="1" fillId="10" borderId="14" xfId="0" applyFont="1" applyFill="1" applyBorder="1" applyAlignment="1" applyProtection="1">
      <alignment horizontal="center" vertical="center" textRotation="90"/>
      <protection hidden="1"/>
    </xf>
    <xf numFmtId="0" fontId="1" fillId="10" borderId="15" xfId="0" applyFont="1" applyFill="1" applyBorder="1" applyAlignment="1" applyProtection="1">
      <alignment horizontal="center" vertical="center" textRotation="90"/>
      <protection hidden="1"/>
    </xf>
    <xf numFmtId="49" fontId="9" fillId="11" borderId="57" xfId="0" applyNumberFormat="1" applyFont="1" applyFill="1" applyBorder="1" applyAlignment="1" applyProtection="1">
      <alignment horizontal="left" vertical="top"/>
      <protection locked="0"/>
    </xf>
    <xf numFmtId="49" fontId="9" fillId="11" borderId="27" xfId="0" applyNumberFormat="1" applyFont="1" applyFill="1" applyBorder="1" applyAlignment="1" applyProtection="1">
      <alignment horizontal="left" vertical="top"/>
      <protection locked="0"/>
    </xf>
    <xf numFmtId="0" fontId="16" fillId="12" borderId="13" xfId="0" applyFont="1" applyFill="1" applyBorder="1" applyAlignment="1" applyProtection="1">
      <alignment horizontal="center" vertical="center" textRotation="90"/>
      <protection hidden="1"/>
    </xf>
    <xf numFmtId="0" fontId="16" fillId="12" borderId="14" xfId="0" applyFont="1" applyFill="1" applyBorder="1" applyAlignment="1" applyProtection="1">
      <alignment horizontal="center" vertical="center" textRotation="90"/>
      <protection hidden="1"/>
    </xf>
    <xf numFmtId="0" fontId="16" fillId="12" borderId="15" xfId="0" applyFont="1" applyFill="1" applyBorder="1" applyAlignment="1" applyProtection="1">
      <alignment horizontal="center" vertical="center" textRotation="90"/>
      <protection hidden="1"/>
    </xf>
    <xf numFmtId="0" fontId="0" fillId="0" borderId="2" xfId="0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horizontal="left" vertical="top" wrapText="1"/>
      <protection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vertical="top" wrapText="1"/>
      <protection hidden="1"/>
    </xf>
    <xf numFmtId="0" fontId="0" fillId="0" borderId="8" xfId="0" applyBorder="1" applyAlignment="1" applyProtection="1">
      <alignment vertical="top" wrapText="1"/>
      <protection hidden="1"/>
    </xf>
    <xf numFmtId="0" fontId="0" fillId="0" borderId="3" xfId="0" applyBorder="1" applyAlignment="1" applyProtection="1">
      <alignment vertical="top" wrapText="1"/>
      <protection hidden="1"/>
    </xf>
    <xf numFmtId="0" fontId="0" fillId="0" borderId="6" xfId="0" applyBorder="1" applyAlignment="1" applyProtection="1">
      <alignment vertical="top" wrapText="1"/>
      <protection hidden="1"/>
    </xf>
    <xf numFmtId="0" fontId="0" fillId="0" borderId="9" xfId="0" applyBorder="1" applyAlignment="1" applyProtection="1">
      <alignment vertical="top" wrapText="1"/>
      <protection hidden="1"/>
    </xf>
    <xf numFmtId="0" fontId="0" fillId="0" borderId="7" xfId="0" applyBorder="1" applyAlignment="1" applyProtection="1">
      <alignment vertical="top" wrapText="1"/>
      <protection hidden="1"/>
    </xf>
    <xf numFmtId="0" fontId="0" fillId="0" borderId="4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5" xfId="0" applyBorder="1" applyAlignment="1" applyProtection="1">
      <alignment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0" fontId="1" fillId="11" borderId="0" xfId="0" applyFont="1" applyFill="1" applyBorder="1" applyAlignment="1">
      <alignment horizontal="left"/>
    </xf>
    <xf numFmtId="0" fontId="1" fillId="11" borderId="35" xfId="0" applyFont="1" applyFill="1" applyBorder="1" applyAlignment="1">
      <alignment horizontal="left"/>
    </xf>
    <xf numFmtId="4" fontId="1" fillId="2" borderId="37" xfId="0" applyNumberFormat="1" applyFont="1" applyFill="1" applyBorder="1" applyAlignment="1">
      <alignment horizontal="center"/>
    </xf>
    <xf numFmtId="1" fontId="42" fillId="8" borderId="0" xfId="0" applyNumberFormat="1" applyFont="1" applyFill="1" applyBorder="1" applyAlignment="1">
      <alignment horizontal="center"/>
    </xf>
    <xf numFmtId="0" fontId="42" fillId="8" borderId="0" xfId="0" applyFont="1" applyFill="1" applyBorder="1" applyAlignment="1">
      <alignment horizontal="center"/>
    </xf>
    <xf numFmtId="0" fontId="24" fillId="26" borderId="0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42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23" fillId="29" borderId="0" xfId="0" applyFont="1" applyFill="1" applyBorder="1" applyAlignment="1">
      <alignment vertical="center" wrapText="1"/>
    </xf>
    <xf numFmtId="0" fontId="42" fillId="0" borderId="0" xfId="0" applyFont="1" applyAlignment="1">
      <alignment wrapText="1"/>
    </xf>
    <xf numFmtId="0" fontId="42" fillId="0" borderId="0" xfId="0" applyFont="1" applyBorder="1" applyAlignment="1"/>
  </cellXfs>
  <cellStyles count="4">
    <cellStyle name="Komma" xfId="2" builtinId="3"/>
    <cellStyle name="Link" xfId="1" builtinId="8"/>
    <cellStyle name="Standard" xfId="0" builtinId="0"/>
    <cellStyle name="Standard 2" xfId="3"/>
  </cellStyles>
  <dxfs count="230"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B050"/>
      </font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rgb="FFFF0000"/>
      </font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00B050"/>
      </font>
    </dxf>
    <dxf>
      <font>
        <b/>
        <i val="0"/>
        <strike val="0"/>
        <color rgb="FFFF0000"/>
      </font>
    </dxf>
    <dxf>
      <font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rgb="FFFFC000"/>
      </font>
    </dxf>
    <dxf>
      <font>
        <color rgb="FFFFC000"/>
      </font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b/>
        <i/>
        <color theme="1"/>
      </font>
      <numFmt numFmtId="30" formatCode="@"/>
    </dxf>
    <dxf>
      <font>
        <b val="0"/>
        <i val="0"/>
      </font>
      <fill>
        <patternFill>
          <bgColor theme="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/>
        <color rgb="FFFF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numFmt numFmtId="0" formatCode="General"/>
      <fill>
        <patternFill>
          <bgColor theme="0"/>
        </patternFill>
      </fill>
    </dxf>
    <dxf>
      <font>
        <color rgb="FF9C0006"/>
      </font>
    </dxf>
    <dxf>
      <font>
        <color rgb="FF9C0006"/>
      </font>
    </dxf>
    <dxf>
      <font>
        <color theme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  <color rgb="FFFF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numFmt numFmtId="0" formatCode="General"/>
      <fill>
        <patternFill>
          <bgColor theme="0"/>
        </patternFill>
      </fill>
    </dxf>
    <dxf>
      <font>
        <color rgb="FF9C0006"/>
      </font>
    </dxf>
    <dxf>
      <font>
        <b/>
        <i/>
        <color rgb="FFFF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numFmt numFmtId="0" formatCode="General"/>
      <fill>
        <patternFill>
          <bgColor theme="0"/>
        </patternFill>
      </fill>
    </dxf>
    <dxf>
      <font>
        <b/>
        <i/>
        <color rgb="FFFF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numFmt numFmtId="0" formatCode="General"/>
      <fill>
        <patternFill>
          <bgColor theme="0"/>
        </patternFill>
      </fill>
    </dxf>
    <dxf>
      <font>
        <b/>
        <i/>
        <color rgb="FFFF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numFmt numFmtId="0" formatCode="General"/>
      <fill>
        <patternFill>
          <bgColor theme="0"/>
        </patternFill>
      </fill>
    </dxf>
    <dxf>
      <font>
        <b/>
        <i/>
        <color rgb="FFFF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numFmt numFmtId="0" formatCode="General"/>
      <fill>
        <patternFill>
          <bgColor theme="0"/>
        </patternFill>
      </fill>
    </dxf>
    <dxf>
      <font>
        <b/>
        <i/>
        <color rgb="FFFF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numFmt numFmtId="0" formatCode="General"/>
      <fill>
        <patternFill>
          <bgColor theme="0"/>
        </patternFill>
      </fill>
    </dxf>
    <dxf>
      <font>
        <b/>
        <i/>
        <color rgb="FFFF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numFmt numFmtId="0" formatCode="General"/>
      <fill>
        <patternFill>
          <bgColor theme="0"/>
        </patternFill>
      </fill>
    </dxf>
    <dxf>
      <font>
        <b/>
        <i/>
        <color rgb="FFFF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numFmt numFmtId="0" formatCode="General"/>
      <fill>
        <patternFill>
          <bgColor theme="0"/>
        </patternFill>
      </fill>
    </dxf>
    <dxf>
      <font>
        <color rgb="FF9C0006"/>
      </font>
    </dxf>
    <dxf>
      <font>
        <b/>
        <i/>
        <color rgb="FFFF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numFmt numFmtId="0" formatCode="General"/>
      <fill>
        <patternFill>
          <bgColor theme="0"/>
        </patternFill>
      </fill>
    </dxf>
    <dxf>
      <font>
        <b/>
        <i/>
        <color rgb="FFFF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numFmt numFmtId="0" formatCode="General"/>
      <fill>
        <patternFill>
          <bgColor theme="0"/>
        </patternFill>
      </fill>
    </dxf>
    <dxf>
      <font>
        <color rgb="FF9C0006"/>
      </font>
    </dxf>
    <dxf>
      <font>
        <b/>
        <i/>
        <color rgb="FFFF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numFmt numFmtId="0" formatCode="General"/>
      <fill>
        <patternFill>
          <bgColor theme="0"/>
        </patternFill>
      </fill>
    </dxf>
    <dxf>
      <font>
        <color rgb="FF9C0006"/>
      </font>
    </dxf>
    <dxf>
      <font>
        <b/>
        <i/>
        <color rgb="FFFF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numFmt numFmtId="0" formatCode="General"/>
      <fill>
        <patternFill>
          <bgColor theme="0"/>
        </patternFill>
      </fill>
    </dxf>
    <dxf>
      <font>
        <b/>
        <i/>
        <color rgb="FFFF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numFmt numFmtId="0" formatCode="General"/>
      <fill>
        <patternFill>
          <bgColor theme="0"/>
        </patternFill>
      </fill>
    </dxf>
    <dxf>
      <font>
        <b/>
        <i/>
        <color rgb="FFFF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numFmt numFmtId="0" formatCode="General"/>
      <fill>
        <patternFill>
          <bgColor theme="0"/>
        </patternFill>
      </fill>
    </dxf>
    <dxf>
      <font>
        <b/>
        <i/>
        <color rgb="FFFF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numFmt numFmtId="0" formatCode="General"/>
      <fill>
        <patternFill>
          <bgColor theme="0"/>
        </patternFill>
      </fill>
    </dxf>
    <dxf>
      <font>
        <b/>
        <i/>
        <color rgb="FFFF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numFmt numFmtId="0" formatCode="General"/>
      <fill>
        <patternFill>
          <bgColor theme="0"/>
        </patternFill>
      </fill>
    </dxf>
    <dxf>
      <font>
        <b/>
        <i/>
        <color rgb="FFFF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numFmt numFmtId="0" formatCode="General"/>
      <fill>
        <patternFill>
          <bgColor theme="0"/>
        </patternFill>
      </fill>
    </dxf>
    <dxf>
      <font>
        <b/>
        <i/>
        <color rgb="FFFF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numFmt numFmtId="0" formatCode="General"/>
      <fill>
        <patternFill>
          <bgColor theme="0"/>
        </patternFill>
      </fill>
    </dxf>
    <dxf>
      <font>
        <color rgb="FF9C0006"/>
      </font>
    </dxf>
    <dxf>
      <font>
        <color rgb="FF9C0006"/>
      </font>
    </dxf>
    <dxf>
      <font>
        <b/>
        <i/>
        <color rgb="FFFF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numFmt numFmtId="0" formatCode="General"/>
      <fill>
        <patternFill>
          <bgColor theme="0"/>
        </patternFill>
      </fill>
    </dxf>
    <dxf>
      <font>
        <color rgb="FF9C0006"/>
      </font>
    </dxf>
    <dxf>
      <font>
        <b/>
        <i/>
        <color rgb="FFFF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numFmt numFmtId="0" formatCode="General"/>
      <fill>
        <patternFill>
          <bgColor theme="0"/>
        </patternFill>
      </fill>
    </dxf>
    <dxf>
      <font>
        <color rgb="FF9C0006"/>
      </font>
    </dxf>
    <dxf>
      <font>
        <b/>
        <i/>
        <color rgb="FFFF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numFmt numFmtId="0" formatCode="General"/>
      <fill>
        <patternFill>
          <bgColor theme="0"/>
        </patternFill>
      </fill>
    </dxf>
    <dxf>
      <font>
        <color rgb="FF9C0006"/>
      </font>
    </dxf>
    <dxf>
      <font>
        <b/>
        <i/>
        <color rgb="FFFF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numFmt numFmtId="0" formatCode="General"/>
      <fill>
        <patternFill>
          <bgColor theme="0"/>
        </patternFill>
      </fill>
    </dxf>
    <dxf>
      <font>
        <color rgb="FF9C0006"/>
      </font>
    </dxf>
    <dxf>
      <font>
        <b/>
        <i/>
        <color rgb="FFFF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numFmt numFmtId="0" formatCode="General"/>
      <fill>
        <patternFill>
          <bgColor theme="0"/>
        </patternFill>
      </fill>
    </dxf>
    <dxf>
      <font>
        <color rgb="FF9C0006"/>
      </font>
    </dxf>
    <dxf>
      <font>
        <b/>
        <i/>
        <color rgb="FFFF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numFmt numFmtId="0" formatCode="General"/>
      <fill>
        <patternFill>
          <bgColor theme="0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0000"/>
      <color rgb="FFD6A300"/>
      <color rgb="FFFFFF00"/>
      <color rgb="FF663300"/>
      <color rgb="FFCC3300"/>
      <color rgb="FFFF9933"/>
      <color rgb="FF800000"/>
      <color rgb="FFFF99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16352928020275E-2"/>
          <c:y val="1.0813327140854301E-2"/>
          <c:w val="0.92146147769170872"/>
          <c:h val="0.966819151311320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Tabelle3!$K$7</c:f>
              <c:strCache>
                <c:ptCount val="1"/>
                <c:pt idx="0">
                  <c:v>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"/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14C-46F3-B615-06A19943F998}"/>
              </c:ext>
            </c:extLst>
          </c:dPt>
          <c:xVal>
            <c:numRef>
              <c:f>Tabelle3!$L$7:$L$8</c:f>
              <c:numCache>
                <c:formatCode>General</c:formatCode>
                <c:ptCount val="2"/>
                <c:pt idx="0">
                  <c:v>0</c:v>
                </c:pt>
                <c:pt idx="1">
                  <c:v>-500</c:v>
                </c:pt>
              </c:numCache>
            </c:numRef>
          </c:xVal>
          <c:yVal>
            <c:numRef>
              <c:f>Tabelle3!$M$7:$M$8</c:f>
              <c:numCache>
                <c:formatCode>General</c:formatCode>
                <c:ptCount val="2"/>
                <c:pt idx="0">
                  <c:v>170</c:v>
                </c:pt>
                <c:pt idx="1">
                  <c:v>170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14C-46F3-B615-06A19943F998}"/>
            </c:ext>
          </c:extLst>
        </c:ser>
        <c:ser>
          <c:idx val="1"/>
          <c:order val="1"/>
          <c:tx>
            <c:strRef>
              <c:f>Tabelle3!$K$9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Tabelle3!$L$9:$L$10</c:f>
              <c:numCache>
                <c:formatCode>General</c:formatCode>
                <c:ptCount val="2"/>
                <c:pt idx="0">
                  <c:v>-500</c:v>
                </c:pt>
                <c:pt idx="1">
                  <c:v>-500</c:v>
                </c:pt>
              </c:numCache>
            </c:numRef>
          </c:xVal>
          <c:yVal>
            <c:numRef>
              <c:f>Tabelle3!$M$9:$M$10</c:f>
              <c:numCache>
                <c:formatCode>General</c:formatCode>
                <c:ptCount val="2"/>
                <c:pt idx="0">
                  <c:v>170</c:v>
                </c:pt>
                <c:pt idx="1">
                  <c:v>500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114C-46F3-B615-06A19943F998}"/>
            </c:ext>
          </c:extLst>
        </c:ser>
        <c:ser>
          <c:idx val="2"/>
          <c:order val="2"/>
          <c:tx>
            <c:strRef>
              <c:f>Tabelle3!$K$11</c:f>
              <c:strCache>
                <c:ptCount val="1"/>
                <c:pt idx="0">
                  <c:v>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"/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14C-46F3-B615-06A19943F998}"/>
              </c:ext>
            </c:extLst>
          </c:dPt>
          <c:xVal>
            <c:numRef>
              <c:f>Tabelle3!$L$11:$L$12</c:f>
              <c:numCache>
                <c:formatCode>General</c:formatCode>
                <c:ptCount val="2"/>
                <c:pt idx="0">
                  <c:v>-500</c:v>
                </c:pt>
                <c:pt idx="1">
                  <c:v>-500</c:v>
                </c:pt>
              </c:numCache>
            </c:numRef>
          </c:xVal>
          <c:yVal>
            <c:numRef>
              <c:f>Tabelle3!$M$11:$M$12</c:f>
              <c:numCache>
                <c:formatCode>General</c:formatCode>
                <c:ptCount val="2"/>
                <c:pt idx="0">
                  <c:v>500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114C-46F3-B615-06A19943F998}"/>
            </c:ext>
          </c:extLst>
        </c:ser>
        <c:ser>
          <c:idx val="3"/>
          <c:order val="3"/>
          <c:tx>
            <c:strRef>
              <c:f>Tabelle3!$K$13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Tabelle3!$L$13:$L$19</c:f>
              <c:numCache>
                <c:formatCode>General</c:formatCode>
                <c:ptCount val="7"/>
                <c:pt idx="0">
                  <c:v>-500</c:v>
                </c:pt>
                <c:pt idx="1">
                  <c:v>-498.22814296703154</c:v>
                </c:pt>
                <c:pt idx="2">
                  <c:v>-493.03332099679079</c:v>
                </c:pt>
                <c:pt idx="3">
                  <c:v>-484.76955262170048</c:v>
                </c:pt>
                <c:pt idx="4">
                  <c:v>-474</c:v>
                </c:pt>
                <c:pt idx="5">
                  <c:v>-461.45859034533106</c:v>
                </c:pt>
                <c:pt idx="6">
                  <c:v>-448</c:v>
                </c:pt>
              </c:numCache>
            </c:numRef>
          </c:xVal>
          <c:yVal>
            <c:numRef>
              <c:f>Tabelle3!$M$13:$M$19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114C-46F3-B615-06A19943F998}"/>
            </c:ext>
          </c:extLst>
        </c:ser>
        <c:ser>
          <c:idx val="4"/>
          <c:order val="4"/>
          <c:tx>
            <c:strRef>
              <c:f>Tabelle3!$K$20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Tabelle3!$L$20:$L$21</c:f>
              <c:numCache>
                <c:formatCode>General</c:formatCode>
                <c:ptCount val="2"/>
                <c:pt idx="0">
                  <c:v>-448</c:v>
                </c:pt>
                <c:pt idx="1">
                  <c:v>-448</c:v>
                </c:pt>
              </c:numCache>
            </c:numRef>
          </c:xVal>
          <c:yVal>
            <c:numRef>
              <c:f>Tabelle3!$M$20:$M$21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114C-46F3-B615-06A19943F998}"/>
            </c:ext>
          </c:extLst>
        </c:ser>
        <c:ser>
          <c:idx val="5"/>
          <c:order val="5"/>
          <c:tx>
            <c:strRef>
              <c:f>Tabelle3!$G$22</c:f>
              <c:strCache>
                <c:ptCount val="1"/>
                <c:pt idx="0">
                  <c:v>#WERT!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261490404701664"/>
                  <c:y val="-4.416917605937906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borderCallout2">
                    <a:avLst/>
                  </a:prstGeom>
                </c15:spPr>
                <c15:showDataLabelsRange val="1"/>
                <c15:showLeaderLines val="1"/>
              </c:ext>
            </c:extLst>
          </c:dLbls>
          <c:xVal>
            <c:numRef>
              <c:f>Tabelle3!$L$22:$L$23</c:f>
              <c:numCache>
                <c:formatCode>General</c:formatCode>
                <c:ptCount val="2"/>
                <c:pt idx="0">
                  <c:v>-448</c:v>
                </c:pt>
                <c:pt idx="1">
                  <c:v>0</c:v>
                </c:pt>
              </c:numCache>
            </c:numRef>
          </c:xVal>
          <c:yVal>
            <c:numRef>
              <c:f>Tabelle3!$M$22:$M$23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114C-46F3-B615-06A19943F998}"/>
            </c:ext>
          </c:extLst>
        </c:ser>
        <c:ser>
          <c:idx val="6"/>
          <c:order val="6"/>
          <c:tx>
            <c:strRef>
              <c:f>Tabelle3!$K$24</c:f>
              <c:strCache>
                <c:ptCount val="1"/>
                <c:pt idx="0">
                  <c:v>7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Tabelle3!$L$24:$L$25</c:f>
              <c:numCache>
                <c:formatCode>General</c:formatCode>
                <c:ptCount val="2"/>
                <c:pt idx="0">
                  <c:v>0</c:v>
                </c:pt>
                <c:pt idx="1">
                  <c:v>152</c:v>
                </c:pt>
              </c:numCache>
            </c:numRef>
          </c:xVal>
          <c:yVal>
            <c:numRef>
              <c:f>Tabelle3!$M$24:$M$25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114C-46F3-B615-06A19943F998}"/>
            </c:ext>
          </c:extLst>
        </c:ser>
        <c:ser>
          <c:idx val="7"/>
          <c:order val="7"/>
          <c:tx>
            <c:strRef>
              <c:f>Tabelle3!$K$26</c:f>
              <c:strCache>
                <c:ptCount val="1"/>
                <c:pt idx="0">
                  <c:v>8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Tabelle3!$L$26:$L$27</c:f>
              <c:numCache>
                <c:formatCode>General</c:formatCode>
                <c:ptCount val="2"/>
                <c:pt idx="0">
                  <c:v>152</c:v>
                </c:pt>
                <c:pt idx="1">
                  <c:v>152</c:v>
                </c:pt>
              </c:numCache>
            </c:numRef>
          </c:xVal>
          <c:yVal>
            <c:numRef>
              <c:f>Tabelle3!$M$26:$M$27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114C-46F3-B615-06A19943F998}"/>
            </c:ext>
          </c:extLst>
        </c:ser>
        <c:ser>
          <c:idx val="8"/>
          <c:order val="8"/>
          <c:tx>
            <c:strRef>
              <c:f>Tabelle3!$K$28</c:f>
              <c:strCache>
                <c:ptCount val="1"/>
                <c:pt idx="0">
                  <c:v>9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Tabelle3!$L$28:$L$34</c:f>
              <c:numCache>
                <c:formatCode>General</c:formatCode>
                <c:ptCount val="7"/>
                <c:pt idx="0">
                  <c:v>152</c:v>
                </c:pt>
                <c:pt idx="1">
                  <c:v>242.06902769567722</c:v>
                </c:pt>
                <c:pt idx="2">
                  <c:v>326</c:v>
                </c:pt>
                <c:pt idx="3">
                  <c:v>398.07315985291859</c:v>
                </c:pt>
                <c:pt idx="4">
                  <c:v>453.37684051698466</c:v>
                </c:pt>
                <c:pt idx="5">
                  <c:v>488.14218754859576</c:v>
                </c:pt>
                <c:pt idx="6">
                  <c:v>500</c:v>
                </c:pt>
              </c:numCache>
            </c:numRef>
          </c:xVal>
          <c:yVal>
            <c:numRef>
              <c:f>Tabelle3!$M$28:$M$34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114C-46F3-B615-06A19943F998}"/>
            </c:ext>
          </c:extLst>
        </c:ser>
        <c:ser>
          <c:idx val="9"/>
          <c:order val="9"/>
          <c:tx>
            <c:strRef>
              <c:f>Tabelle3!$K$35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Tabelle3!$L$35:$L$36</c:f>
              <c:numCache>
                <c:formatCode>General</c:formatCode>
                <c:ptCount val="2"/>
                <c:pt idx="0">
                  <c:v>500</c:v>
                </c:pt>
                <c:pt idx="1">
                  <c:v>500</c:v>
                </c:pt>
              </c:numCache>
            </c:numRef>
          </c:xVal>
          <c:yVal>
            <c:numRef>
              <c:f>Tabelle3!$M$35:$M$36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114C-46F3-B615-06A19943F998}"/>
            </c:ext>
          </c:extLst>
        </c:ser>
        <c:ser>
          <c:idx val="10"/>
          <c:order val="10"/>
          <c:tx>
            <c:strRef>
              <c:f>Tabelle3!$K$37</c:f>
              <c:strCache>
                <c:ptCount val="1"/>
                <c:pt idx="0">
                  <c:v>11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Tabelle3!$L$37:$L$38</c:f>
              <c:numCache>
                <c:formatCode>General</c:formatCode>
                <c:ptCount val="2"/>
                <c:pt idx="0">
                  <c:v>500</c:v>
                </c:pt>
                <c:pt idx="1">
                  <c:v>500</c:v>
                </c:pt>
              </c:numCache>
            </c:numRef>
          </c:xVal>
          <c:yVal>
            <c:numRef>
              <c:f>Tabelle3!$M$37:$M$38</c:f>
              <c:numCache>
                <c:formatCode>General</c:formatCode>
                <c:ptCount val="2"/>
                <c:pt idx="0">
                  <c:v>0</c:v>
                </c:pt>
                <c:pt idx="1">
                  <c:v>170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114C-46F3-B615-06A19943F998}"/>
            </c:ext>
          </c:extLst>
        </c:ser>
        <c:ser>
          <c:idx val="11"/>
          <c:order val="11"/>
          <c:tx>
            <c:strRef>
              <c:f>Tabelle3!$K$39</c:f>
              <c:strCache>
                <c:ptCount val="1"/>
                <c:pt idx="0">
                  <c:v>12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Tabelle3!$L$39:$L$40</c:f>
              <c:numCache>
                <c:formatCode>General</c:formatCode>
                <c:ptCount val="2"/>
                <c:pt idx="0">
                  <c:v>500</c:v>
                </c:pt>
                <c:pt idx="1">
                  <c:v>0</c:v>
                </c:pt>
              </c:numCache>
            </c:numRef>
          </c:xVal>
          <c:yVal>
            <c:numRef>
              <c:f>Tabelle3!$M$39:$M$40</c:f>
              <c:numCache>
                <c:formatCode>General</c:formatCode>
                <c:ptCount val="2"/>
                <c:pt idx="0">
                  <c:v>170</c:v>
                </c:pt>
                <c:pt idx="1">
                  <c:v>170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1-114C-46F3-B615-06A19943F998}"/>
            </c:ext>
          </c:extLst>
        </c:ser>
        <c:ser>
          <c:idx val="12"/>
          <c:order val="12"/>
          <c:tx>
            <c:strRef>
              <c:f>Tabelle3!$K$41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Tabelle3!$L$41:$L$42</c:f>
              <c:numCache>
                <c:formatCode>General</c:formatCode>
                <c:ptCount val="2"/>
                <c:pt idx="0">
                  <c:v>0</c:v>
                </c:pt>
                <c:pt idx="1">
                  <c:v>-525</c:v>
                </c:pt>
              </c:numCache>
            </c:numRef>
          </c:xVal>
          <c:yVal>
            <c:numRef>
              <c:f>Tabelle3!$M$41:$M$42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114C-46F3-B615-06A19943F998}"/>
            </c:ext>
          </c:extLst>
        </c:ser>
        <c:ser>
          <c:idx val="13"/>
          <c:order val="13"/>
          <c:tx>
            <c:strRef>
              <c:f>Tabelle3!$K$43</c:f>
              <c:strCache>
                <c:ptCount val="1"/>
                <c:pt idx="0">
                  <c:v>14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Tabelle3!$L$43:$L$44</c:f>
              <c:numCache>
                <c:formatCode>General</c:formatCode>
                <c:ptCount val="2"/>
                <c:pt idx="0">
                  <c:v>-525</c:v>
                </c:pt>
                <c:pt idx="1">
                  <c:v>-525</c:v>
                </c:pt>
              </c:numCache>
            </c:numRef>
          </c:xVal>
          <c:yVal>
            <c:numRef>
              <c:f>Tabelle3!$M$43:$M$44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3-114C-46F3-B615-06A19943F998}"/>
            </c:ext>
          </c:extLst>
        </c:ser>
        <c:ser>
          <c:idx val="14"/>
          <c:order val="14"/>
          <c:tx>
            <c:strRef>
              <c:f>Tabelle3!$K$45</c:f>
              <c:strCache>
                <c:ptCount val="1"/>
                <c:pt idx="0">
                  <c:v>15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Tabelle3!$L$45:$L$46</c:f>
              <c:numCache>
                <c:formatCode>General</c:formatCode>
                <c:ptCount val="2"/>
                <c:pt idx="0">
                  <c:v>-525</c:v>
                </c:pt>
                <c:pt idx="1">
                  <c:v>-525</c:v>
                </c:pt>
              </c:numCache>
            </c:numRef>
          </c:xVal>
          <c:yVal>
            <c:numRef>
              <c:f>Tabelle3!$M$45:$M$46</c:f>
              <c:numCache>
                <c:formatCode>General</c:formatCode>
                <c:ptCount val="2"/>
                <c:pt idx="0">
                  <c:v>500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4-114C-46F3-B615-06A19943F998}"/>
            </c:ext>
          </c:extLst>
        </c:ser>
        <c:ser>
          <c:idx val="15"/>
          <c:order val="15"/>
          <c:tx>
            <c:strRef>
              <c:f>Tabelle3!$K$47</c:f>
              <c:strCache>
                <c:ptCount val="1"/>
                <c:pt idx="0">
                  <c:v>16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Tabelle3!$L$47:$L$53</c:f>
              <c:numCache>
                <c:formatCode>General</c:formatCode>
                <c:ptCount val="7"/>
                <c:pt idx="0">
                  <c:v>-525</c:v>
                </c:pt>
                <c:pt idx="1">
                  <c:v>-523.22814296703154</c:v>
                </c:pt>
                <c:pt idx="2">
                  <c:v>-518.03332099679085</c:v>
                </c:pt>
                <c:pt idx="3">
                  <c:v>-509.76955262170048</c:v>
                </c:pt>
                <c:pt idx="4">
                  <c:v>-499</c:v>
                </c:pt>
                <c:pt idx="5">
                  <c:v>-486.45859034533106</c:v>
                </c:pt>
                <c:pt idx="6">
                  <c:v>-473</c:v>
                </c:pt>
              </c:numCache>
            </c:numRef>
          </c:xVal>
          <c:yVal>
            <c:numRef>
              <c:f>Tabelle3!$M$47:$M$53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5-114C-46F3-B615-06A19943F998}"/>
            </c:ext>
          </c:extLst>
        </c:ser>
        <c:ser>
          <c:idx val="16"/>
          <c:order val="16"/>
          <c:tx>
            <c:strRef>
              <c:f>Tabelle3!$K$54</c:f>
              <c:strCache>
                <c:ptCount val="1"/>
                <c:pt idx="0">
                  <c:v>17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Tabelle3!$L$54:$L$55</c:f>
              <c:numCache>
                <c:formatCode>General</c:formatCode>
                <c:ptCount val="2"/>
                <c:pt idx="0">
                  <c:v>-473</c:v>
                </c:pt>
                <c:pt idx="1">
                  <c:v>-473</c:v>
                </c:pt>
              </c:numCache>
            </c:numRef>
          </c:xVal>
          <c:yVal>
            <c:numRef>
              <c:f>Tabelle3!$M$54:$M$55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6-114C-46F3-B615-06A19943F998}"/>
            </c:ext>
          </c:extLst>
        </c:ser>
        <c:ser>
          <c:idx val="17"/>
          <c:order val="17"/>
          <c:tx>
            <c:strRef>
              <c:f>Tabelle3!$K$56</c:f>
              <c:strCache>
                <c:ptCount val="1"/>
                <c:pt idx="0">
                  <c:v>18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16778799776818795"/>
                  <c:y val="-2.9446117372919425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Tabelle3!$L$56:$L$57</c:f>
              <c:numCache>
                <c:formatCode>General</c:formatCode>
                <c:ptCount val="2"/>
                <c:pt idx="0">
                  <c:v>-473</c:v>
                </c:pt>
                <c:pt idx="1">
                  <c:v>0</c:v>
                </c:pt>
              </c:numCache>
            </c:numRef>
          </c:xVal>
          <c:yVal>
            <c:numRef>
              <c:f>Tabelle3!$M$56:$M$57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9-114C-46F3-B615-06A19943F998}"/>
            </c:ext>
          </c:extLst>
        </c:ser>
        <c:ser>
          <c:idx val="18"/>
          <c:order val="18"/>
          <c:tx>
            <c:strRef>
              <c:f>Tabelle3!$G$21</c:f>
              <c:strCache>
                <c:ptCount val="1"/>
                <c:pt idx="0">
                  <c:v>#WERT!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5.3497622476813549E-2"/>
                  <c:y val="-4.416917605937913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9525"/>
            </c:spPr>
            <c:trendlineType val="linear"/>
            <c:dispRSqr val="0"/>
            <c:dispEq val="0"/>
          </c:trendline>
          <c:xVal>
            <c:numRef>
              <c:f>Tabelle3!$L$58:$L$59</c:f>
              <c:numCache>
                <c:formatCode>General</c:formatCode>
                <c:ptCount val="2"/>
                <c:pt idx="0">
                  <c:v>0</c:v>
                </c:pt>
                <c:pt idx="1">
                  <c:v>177</c:v>
                </c:pt>
              </c:numCache>
            </c:numRef>
          </c:xVal>
          <c:yVal>
            <c:numRef>
              <c:f>Tabelle3!$M$58:$M$59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D-114C-46F3-B615-06A19943F998}"/>
            </c:ext>
          </c:extLst>
        </c:ser>
        <c:ser>
          <c:idx val="19"/>
          <c:order val="19"/>
          <c:tx>
            <c:strRef>
              <c:f>Tabelle3!$K$60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Tabelle3!$L$60:$L$61</c:f>
              <c:numCache>
                <c:formatCode>General</c:formatCode>
                <c:ptCount val="2"/>
                <c:pt idx="0">
                  <c:v>177</c:v>
                </c:pt>
                <c:pt idx="1">
                  <c:v>177</c:v>
                </c:pt>
              </c:numCache>
            </c:numRef>
          </c:xVal>
          <c:yVal>
            <c:numRef>
              <c:f>Tabelle3!$M$60:$M$61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E-114C-46F3-B615-06A19943F998}"/>
            </c:ext>
          </c:extLst>
        </c:ser>
        <c:ser>
          <c:idx val="20"/>
          <c:order val="20"/>
          <c:tx>
            <c:strRef>
              <c:f>Tabelle3!$K$62</c:f>
              <c:strCache>
                <c:ptCount val="1"/>
                <c:pt idx="0">
                  <c:v>21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Tabelle3!$L$62:$L$68</c:f>
              <c:numCache>
                <c:formatCode>General</c:formatCode>
                <c:ptCount val="7"/>
                <c:pt idx="0">
                  <c:v>177</c:v>
                </c:pt>
                <c:pt idx="1">
                  <c:v>267.06902769567722</c:v>
                </c:pt>
                <c:pt idx="2">
                  <c:v>351</c:v>
                </c:pt>
                <c:pt idx="3">
                  <c:v>423.07315985291859</c:v>
                </c:pt>
                <c:pt idx="4">
                  <c:v>478.37684051698466</c:v>
                </c:pt>
                <c:pt idx="5">
                  <c:v>513.14218754859576</c:v>
                </c:pt>
                <c:pt idx="6">
                  <c:v>525</c:v>
                </c:pt>
              </c:numCache>
            </c:numRef>
          </c:xVal>
          <c:yVal>
            <c:numRef>
              <c:f>Tabelle3!$M$62:$M$68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F-114C-46F3-B615-06A19943F998}"/>
            </c:ext>
          </c:extLst>
        </c:ser>
        <c:ser>
          <c:idx val="21"/>
          <c:order val="21"/>
          <c:tx>
            <c:strRef>
              <c:f>Tabelle3!$K$69</c:f>
              <c:strCache>
                <c:ptCount val="1"/>
                <c:pt idx="0">
                  <c:v>22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Tabelle3!$L$69:$L$70</c:f>
              <c:numCache>
                <c:formatCode>General</c:formatCode>
                <c:ptCount val="2"/>
                <c:pt idx="0">
                  <c:v>525</c:v>
                </c:pt>
                <c:pt idx="1">
                  <c:v>525</c:v>
                </c:pt>
              </c:numCache>
            </c:numRef>
          </c:xVal>
          <c:yVal>
            <c:numRef>
              <c:f>Tabelle3!$M$69:$M$70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0-114C-46F3-B615-06A19943F998}"/>
            </c:ext>
          </c:extLst>
        </c:ser>
        <c:ser>
          <c:idx val="22"/>
          <c:order val="22"/>
          <c:tx>
            <c:strRef>
              <c:f>Tabelle3!$K$71</c:f>
              <c:strCache>
                <c:ptCount val="1"/>
                <c:pt idx="0">
                  <c:v>23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Tabelle3!$L$71:$L$72</c:f>
              <c:numCache>
                <c:formatCode>General</c:formatCode>
                <c:ptCount val="2"/>
                <c:pt idx="0">
                  <c:v>525</c:v>
                </c:pt>
                <c:pt idx="1">
                  <c:v>525</c:v>
                </c:pt>
              </c:numCache>
            </c:numRef>
          </c:xVal>
          <c:yVal>
            <c:numRef>
              <c:f>Tabelle3!$M$71:$M$72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1-114C-46F3-B615-06A19943F998}"/>
            </c:ext>
          </c:extLst>
        </c:ser>
        <c:ser>
          <c:idx val="23"/>
          <c:order val="23"/>
          <c:tx>
            <c:strRef>
              <c:f>Tabelle3!$K$73</c:f>
              <c:strCache>
                <c:ptCount val="1"/>
                <c:pt idx="0">
                  <c:v>24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Tabelle3!$L$73:$L$74</c:f>
              <c:numCache>
                <c:formatCode>General</c:formatCode>
                <c:ptCount val="2"/>
                <c:pt idx="0">
                  <c:v>525</c:v>
                </c:pt>
                <c:pt idx="1">
                  <c:v>0</c:v>
                </c:pt>
              </c:numCache>
            </c:numRef>
          </c:xVal>
          <c:yVal>
            <c:numRef>
              <c:f>Tabelle3!$M$73:$M$74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2-114C-46F3-B615-06A19943F998}"/>
            </c:ext>
          </c:extLst>
        </c:ser>
        <c:ser>
          <c:idx val="24"/>
          <c:order val="24"/>
          <c:tx>
            <c:strRef>
              <c:f>Tabelle3!$K$75</c:f>
              <c:strCache>
                <c:ptCount val="1"/>
                <c:pt idx="0">
                  <c:v>25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30882718429796902"/>
                  <c:y val="-0.16747479255847925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Tabelle3!$L$75:$L$76</c:f>
              <c:numCache>
                <c:formatCode>General</c:formatCode>
                <c:ptCount val="2"/>
                <c:pt idx="0">
                  <c:v>-448</c:v>
                </c:pt>
                <c:pt idx="1">
                  <c:v>-448</c:v>
                </c:pt>
              </c:numCache>
            </c:numRef>
          </c:xVal>
          <c:yVal>
            <c:numRef>
              <c:f>Tabelle3!$M$75:$M$76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5-114C-46F3-B615-06A19943F998}"/>
            </c:ext>
          </c:extLst>
        </c:ser>
        <c:ser>
          <c:idx val="25"/>
          <c:order val="25"/>
          <c:tx>
            <c:strRef>
              <c:f>Tabelle3!$K$77</c:f>
              <c:strCache>
                <c:ptCount val="1"/>
                <c:pt idx="0">
                  <c:v>26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9180521350989207E-2"/>
                  <c:y val="-4.232879372357181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Tabelle3!$L$77:$L$78</c:f>
              <c:numCache>
                <c:formatCode>General</c:formatCode>
                <c:ptCount val="2"/>
                <c:pt idx="0">
                  <c:v>152</c:v>
                </c:pt>
                <c:pt idx="1">
                  <c:v>152</c:v>
                </c:pt>
              </c:numCache>
            </c:numRef>
          </c:xVal>
          <c:yVal>
            <c:numRef>
              <c:f>Tabelle3!$M$77:$M$78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8-114C-46F3-B615-06A19943F998}"/>
            </c:ext>
          </c:extLst>
        </c:ser>
        <c:ser>
          <c:idx val="26"/>
          <c:order val="26"/>
          <c:tx>
            <c:v>E+Tabelle3!$T$5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Tabelle3!$W$5:$W$6</c:f>
              <c:numCache>
                <c:formatCode>General</c:formatCode>
                <c:ptCount val="2"/>
                <c:pt idx="0">
                  <c:v>0</c:v>
                </c:pt>
                <c:pt idx="1">
                  <c:v>-700</c:v>
                </c:pt>
              </c:numCache>
            </c:numRef>
          </c:xVal>
          <c:yVal>
            <c:numRef>
              <c:f>Tabelle3!$X$5:$X$6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9-114C-46F3-B615-06A19943F998}"/>
            </c:ext>
          </c:extLst>
        </c:ser>
        <c:ser>
          <c:idx val="27"/>
          <c:order val="27"/>
          <c:tx>
            <c:v>EL 2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Tabelle3!$W$7:$W$8</c:f>
              <c:numCache>
                <c:formatCode>General</c:formatCode>
                <c:ptCount val="2"/>
                <c:pt idx="0">
                  <c:v>-700</c:v>
                </c:pt>
                <c:pt idx="1">
                  <c:v>-700</c:v>
                </c:pt>
              </c:numCache>
            </c:numRef>
          </c:xVal>
          <c:yVal>
            <c:numRef>
              <c:f>Tabelle3!$X$7:$X$8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A-114C-46F3-B615-06A19943F998}"/>
            </c:ext>
          </c:extLst>
        </c:ser>
        <c:ser>
          <c:idx val="28"/>
          <c:order val="28"/>
          <c:tx>
            <c:v>EL+Tabelle3!$S$9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Tabelle3!$W$9:$W$10</c:f>
              <c:numCache>
                <c:formatCode>General</c:formatCode>
                <c:ptCount val="2"/>
                <c:pt idx="0">
                  <c:v>-700</c:v>
                </c:pt>
                <c:pt idx="1">
                  <c:v>0</c:v>
                </c:pt>
              </c:numCache>
            </c:numRef>
          </c:xVal>
          <c:yVal>
            <c:numRef>
              <c:f>Tabelle3!$X$9:$X$10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B-114C-46F3-B615-06A19943F998}"/>
            </c:ext>
          </c:extLst>
        </c:ser>
        <c:ser>
          <c:idx val="29"/>
          <c:order val="29"/>
          <c:tx>
            <c:v>EL+Tabelle3!$S$11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Tabelle3!$W$11:$W$12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Tabelle3!$X$11:$X$12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C-114C-46F3-B615-06A19943F998}"/>
            </c:ext>
          </c:extLst>
        </c:ser>
        <c:ser>
          <c:idx val="30"/>
          <c:order val="30"/>
          <c:tx>
            <c:v>EL+Tabelle3!$S$13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Tabelle3!$W$13:$W$14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Tabelle3!$X$13:$X$14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D-114C-46F3-B615-06A19943F998}"/>
            </c:ext>
          </c:extLst>
        </c:ser>
        <c:ser>
          <c:idx val="31"/>
          <c:order val="31"/>
          <c:tx>
            <c:v>EL+Tabelle3!$S$15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Tabelle3!$W$15:$W$16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Tabelle3!$X$15:$X$16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E-114C-46F3-B615-06A19943F998}"/>
            </c:ext>
          </c:extLst>
        </c:ser>
        <c:ser>
          <c:idx val="32"/>
          <c:order val="32"/>
          <c:tx>
            <c:v>EL+Tabelle3!$S$17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Tabelle3!$W$17:$W$18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Tabelle3!$X$17:$X$18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F-114C-46F3-B615-06A19943F998}"/>
            </c:ext>
          </c:extLst>
        </c:ser>
        <c:ser>
          <c:idx val="33"/>
          <c:order val="33"/>
          <c:tx>
            <c:v>EL+Tabelle3!$S$19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Tabelle3!$W$19:$W$20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Tabelle3!$X$19:$X$20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0-114C-46F3-B615-06A19943F998}"/>
            </c:ext>
          </c:extLst>
        </c:ser>
        <c:ser>
          <c:idx val="34"/>
          <c:order val="34"/>
          <c:tx>
            <c:v>EL+Tabelle3!$S$21</c:v>
          </c:tx>
          <c:spPr>
            <a:ln w="9525" cap="rnd">
              <a:solidFill>
                <a:schemeClr val="accent5">
                  <a:lumMod val="50000"/>
                </a:schemeClr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Tabelle3!$W$21:$W$22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Tabelle3!$X$21:$X$22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1-114C-46F3-B615-06A19943F998}"/>
            </c:ext>
          </c:extLst>
        </c:ser>
        <c:ser>
          <c:idx val="35"/>
          <c:order val="35"/>
          <c:tx>
            <c:v>EL+Tabelle3!$S$23</c:v>
          </c:tx>
          <c:spPr>
            <a:ln w="9525" cap="rnd">
              <a:solidFill>
                <a:schemeClr val="accent6">
                  <a:lumMod val="50000"/>
                </a:schemeClr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Tabelle3!$W$23:$W$24</c:f>
              <c:numCache>
                <c:formatCode>General</c:formatCode>
                <c:ptCount val="2"/>
                <c:pt idx="0">
                  <c:v>0</c:v>
                </c:pt>
                <c:pt idx="1">
                  <c:v>-830</c:v>
                </c:pt>
              </c:numCache>
            </c:numRef>
          </c:xVal>
          <c:yVal>
            <c:numRef>
              <c:f>Tabelle3!$X$23:$X$24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2-114C-46F3-B615-06A19943F998}"/>
            </c:ext>
          </c:extLst>
        </c:ser>
        <c:ser>
          <c:idx val="36"/>
          <c:order val="36"/>
          <c:tx>
            <c:v>DL+Tabelle3!$Y$5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Tabelle3!$AC$5:$AC$6</c:f>
              <c:numCache>
                <c:formatCode>General</c:formatCode>
                <c:ptCount val="2"/>
                <c:pt idx="0">
                  <c:v>180</c:v>
                </c:pt>
                <c:pt idx="1">
                  <c:v>628</c:v>
                </c:pt>
              </c:numCache>
            </c:numRef>
          </c:xVal>
          <c:yVal>
            <c:numRef>
              <c:f>Tabelle3!$AD$5:$AD$6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3-114C-46F3-B615-06A19943F998}"/>
            </c:ext>
          </c:extLst>
        </c:ser>
        <c:ser>
          <c:idx val="37"/>
          <c:order val="37"/>
          <c:tx>
            <c:strRef>
              <c:f>Tabelle3!$AB$7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Tabelle3!$AC$7:$AC$8</c:f>
              <c:numCache>
                <c:formatCode>General</c:formatCode>
                <c:ptCount val="2"/>
                <c:pt idx="0">
                  <c:v>180</c:v>
                </c:pt>
                <c:pt idx="1">
                  <c:v>628</c:v>
                </c:pt>
              </c:numCache>
            </c:numRef>
          </c:xVal>
          <c:yVal>
            <c:numRef>
              <c:f>Tabelle3!$AD$7:$AD$8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4-114C-46F3-B615-06A19943F998}"/>
            </c:ext>
          </c:extLst>
        </c:ser>
        <c:ser>
          <c:idx val="38"/>
          <c:order val="38"/>
          <c:tx>
            <c:v>DL+Tabelle3!$Y$9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Tabelle3!$AC$9:$AC$10</c:f>
              <c:numCache>
                <c:formatCode>General</c:formatCode>
                <c:ptCount val="2"/>
                <c:pt idx="0">
                  <c:v>628</c:v>
                </c:pt>
                <c:pt idx="1">
                  <c:v>628</c:v>
                </c:pt>
              </c:numCache>
            </c:numRef>
          </c:xVal>
          <c:yVal>
            <c:numRef>
              <c:f>Tabelle3!$AD$9:$AD$10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5-114C-46F3-B615-06A19943F998}"/>
            </c:ext>
          </c:extLst>
        </c:ser>
        <c:ser>
          <c:idx val="39"/>
          <c:order val="39"/>
          <c:tx>
            <c:strRef>
              <c:f>Tabelle3!$AB$11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Tabelle3!$AC$11:$AC$12</c:f>
              <c:numCache>
                <c:formatCode>General</c:formatCode>
                <c:ptCount val="2"/>
                <c:pt idx="0">
                  <c:v>180</c:v>
                </c:pt>
                <c:pt idx="1">
                  <c:v>180</c:v>
                </c:pt>
              </c:numCache>
            </c:numRef>
          </c:xVal>
          <c:yVal>
            <c:numRef>
              <c:f>Tabelle3!$AD$11:$AD$12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6-114C-46F3-B615-06A19943F998}"/>
            </c:ext>
          </c:extLst>
        </c:ser>
        <c:ser>
          <c:idx val="40"/>
          <c:order val="40"/>
          <c:tx>
            <c:v>DL+Tabelle3!$Y$13</c:v>
          </c:tx>
          <c:spPr>
            <a:ln w="9525" cap="rnd">
              <a:solidFill>
                <a:schemeClr val="tx1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Tabelle3!$AC$13:$AC$14</c:f>
              <c:numCache>
                <c:formatCode>General</c:formatCode>
                <c:ptCount val="2"/>
                <c:pt idx="0">
                  <c:v>778</c:v>
                </c:pt>
                <c:pt idx="1">
                  <c:v>30</c:v>
                </c:pt>
              </c:numCache>
            </c:numRef>
          </c:xVal>
          <c:yVal>
            <c:numRef>
              <c:f>Tabelle3!$AD$13:$AD$14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7-114C-46F3-B615-06A19943F998}"/>
            </c:ext>
          </c:extLst>
        </c:ser>
        <c:ser>
          <c:idx val="41"/>
          <c:order val="41"/>
          <c:tx>
            <c:strRef>
              <c:f>Tabelle3!$Z$18</c:f>
              <c:strCache>
                <c:ptCount val="1"/>
                <c:pt idx="0">
                  <c:v>#WERT!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854593602485935E-2"/>
                  <c:y val="1.477711086057437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12700"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CH" sz="900" b="0" i="0" u="none" strike="noStrike" kern="1200" baseline="0">
                    <a:ln w="6350">
                      <a:solidFill>
                        <a:schemeClr val="accent5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Tabelle3!$AC$18:$AC$19</c:f>
              <c:numCache>
                <c:formatCode>General</c:formatCode>
                <c:ptCount val="2"/>
                <c:pt idx="0">
                  <c:v>-1000</c:v>
                </c:pt>
                <c:pt idx="1">
                  <c:v>650</c:v>
                </c:pt>
              </c:numCache>
            </c:numRef>
          </c:xVal>
          <c:yVal>
            <c:numRef>
              <c:f>Tabelle3!$AD$18:$AD$19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A-114C-46F3-B615-06A19943F998}"/>
            </c:ext>
          </c:extLst>
        </c:ser>
        <c:ser>
          <c:idx val="42"/>
          <c:order val="42"/>
          <c:tx>
            <c:strRef>
              <c:f>Tabelle3!$Z$20</c:f>
              <c:strCache>
                <c:ptCount val="1"/>
                <c:pt idx="0">
                  <c:v>#WERT!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840215178831088E-2"/>
                  <c:y val="1.542815412114506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 w="6350">
                      <a:solidFill>
                        <a:schemeClr val="accent5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Tabelle3!$AC$20:$AC$21</c:f>
              <c:numCache>
                <c:formatCode>General</c:formatCode>
                <c:ptCount val="2"/>
                <c:pt idx="0">
                  <c:v>-1000</c:v>
                </c:pt>
                <c:pt idx="1">
                  <c:v>650</c:v>
                </c:pt>
              </c:numCache>
            </c:numRef>
          </c:xVal>
          <c:yVal>
            <c:numRef>
              <c:f>Tabelle3!$AD$20:$AD$21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D-114C-46F3-B615-06A19943F998}"/>
            </c:ext>
          </c:extLst>
        </c:ser>
        <c:ser>
          <c:idx val="43"/>
          <c:order val="43"/>
          <c:tx>
            <c:strRef>
              <c:f>Tabelle3!$Z$16</c:f>
              <c:strCache>
                <c:ptCount val="1"/>
                <c:pt idx="0">
                  <c:v>H SU 170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6626232092592548E-2"/>
                  <c:y val="1.388387332373049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CH" sz="900" b="0" i="0" u="none" strike="noStrike" kern="1200" baseline="0">
                    <a:ln w="6350">
                      <a:solidFill>
                        <a:schemeClr val="accent5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Tabelle3!$AC$16:$AC$17</c:f>
              <c:numCache>
                <c:formatCode>General</c:formatCode>
                <c:ptCount val="2"/>
                <c:pt idx="0">
                  <c:v>-1000</c:v>
                </c:pt>
                <c:pt idx="1">
                  <c:v>650</c:v>
                </c:pt>
              </c:numCache>
            </c:numRef>
          </c:xVal>
          <c:yVal>
            <c:numRef>
              <c:f>Tabelle3!$AD$16:$AD$17</c:f>
              <c:numCache>
                <c:formatCode>General</c:formatCode>
                <c:ptCount val="2"/>
                <c:pt idx="0">
                  <c:v>170</c:v>
                </c:pt>
                <c:pt idx="1">
                  <c:v>170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0-114C-46F3-B615-06A19943F998}"/>
            </c:ext>
          </c:extLst>
        </c:ser>
        <c:ser>
          <c:idx val="44"/>
          <c:order val="44"/>
          <c:tx>
            <c:strRef>
              <c:f>Tabelle3!$K$79</c:f>
              <c:strCache>
                <c:ptCount val="1"/>
                <c:pt idx="0">
                  <c:v>27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Tabelle3!$L$79:$L$80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Tabelle3!$M$79:$M$80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1-114C-46F3-B615-06A19943F998}"/>
            </c:ext>
          </c:extLst>
        </c:ser>
        <c:ser>
          <c:idx val="45"/>
          <c:order val="45"/>
          <c:tx>
            <c:strRef>
              <c:f>Tabelle3!$K$81</c:f>
              <c:strCache>
                <c:ptCount val="1"/>
                <c:pt idx="0">
                  <c:v>28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Tabelle3!$L$81:$L$82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Tabelle3!$M$81:$M$82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2-114C-46F3-B615-06A19943F998}"/>
            </c:ext>
          </c:extLst>
        </c:ser>
        <c:ser>
          <c:idx val="46"/>
          <c:order val="46"/>
          <c:tx>
            <c:strRef>
              <c:f>Tabelle3!$AI$4</c:f>
              <c:strCache>
                <c:ptCount val="1"/>
              </c:strCache>
            </c:strRef>
          </c:tx>
          <c:spPr>
            <a:ln w="19050" cap="rnd" cmpd="sng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3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4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Tabelle3!$AN$4:$AN$5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Tabelle3!$AO$4:$AO$5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5-114C-46F3-B615-06A19943F998}"/>
            </c:ext>
          </c:extLst>
        </c:ser>
        <c:ser>
          <c:idx val="47"/>
          <c:order val="47"/>
          <c:tx>
            <c:strRef>
              <c:f>Tabelle3!$AI$6</c:f>
              <c:strCache>
                <c:ptCount val="1"/>
              </c:strCache>
            </c:strRef>
          </c:tx>
          <c:spPr>
            <a:ln w="19050" cap="rnd">
              <a:solidFill>
                <a:schemeClr val="accent6">
                  <a:lumMod val="70000"/>
                </a:schemeClr>
              </a:solidFill>
              <a:prstDash val="lgDashDot"/>
              <a:round/>
            </a:ln>
            <a:effectLst/>
          </c:spPr>
          <c:marker>
            <c:symbol val="none"/>
          </c:marker>
          <c:dPt>
            <c:idx val="1"/>
            <c:bubble3D val="0"/>
            <c:spPr>
              <a:ln w="19050" cap="rnd">
                <a:solidFill>
                  <a:schemeClr val="accent5"/>
                </a:solidFill>
                <a:prstDash val="lgDashDot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114C-46F3-B615-06A19943F998}"/>
              </c:ext>
            </c:extLst>
          </c:dPt>
          <c:dLbls>
            <c:dLbl>
              <c:idx val="0"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8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7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Tabelle3!$AN$6:$AN$7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Tabelle3!$AO$6:$AO$7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9-114C-46F3-B615-06A19943F998}"/>
            </c:ext>
          </c:extLst>
        </c:ser>
        <c:ser>
          <c:idx val="48"/>
          <c:order val="48"/>
          <c:tx>
            <c:strRef>
              <c:f>Tabelle3!$AI$8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A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B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Tabelle3!$AN$8:$AN$9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Tabelle3!$AO$8:$AO$9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C-114C-46F3-B615-06A19943F998}"/>
            </c:ext>
          </c:extLst>
        </c:ser>
        <c:ser>
          <c:idx val="49"/>
          <c:order val="49"/>
          <c:tx>
            <c:strRef>
              <c:f>Tabelle3!$AI$10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D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E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Tabelle3!$AN$10:$AN$11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Tabelle3!$AO$10:$AO$11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F-114C-46F3-B615-06A19943F998}"/>
            </c:ext>
          </c:extLst>
        </c:ser>
        <c:ser>
          <c:idx val="50"/>
          <c:order val="50"/>
          <c:tx>
            <c:strRef>
              <c:f>Tabelle3!$AI$12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0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1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Tabelle3!$AN$12:$AN$13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Tabelle3!$AO$12:$AO$13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2-114C-46F3-B615-06A19943F998}"/>
            </c:ext>
          </c:extLst>
        </c:ser>
        <c:ser>
          <c:idx val="51"/>
          <c:order val="51"/>
          <c:tx>
            <c:strRef>
              <c:f>Tabelle3!$AI$14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3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4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Tabelle3!$AN$14:$AN$15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Tabelle3!$AO$14:$AO$15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5-114C-46F3-B615-06A19943F998}"/>
            </c:ext>
          </c:extLst>
        </c:ser>
        <c:ser>
          <c:idx val="52"/>
          <c:order val="52"/>
          <c:tx>
            <c:strRef>
              <c:f>Tabelle3!$AI$16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6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7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Tabelle3!$AN$16:$AN$17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Tabelle3!$AO$16:$AO$17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8-114C-46F3-B615-06A19943F998}"/>
            </c:ext>
          </c:extLst>
        </c:ser>
        <c:ser>
          <c:idx val="53"/>
          <c:order val="53"/>
          <c:tx>
            <c:strRef>
              <c:f>Tabelle3!$AI$18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9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A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Tabelle3!$AN$18:$AN$19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Tabelle3!$AO$18:$AO$19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B-114C-46F3-B615-06A19943F998}"/>
            </c:ext>
          </c:extLst>
        </c:ser>
        <c:ser>
          <c:idx val="54"/>
          <c:order val="54"/>
          <c:tx>
            <c:strRef>
              <c:f>Tabelle3!$AI$20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C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D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Tabelle3!$AN$20:$AN$21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Tabelle3!$AO$20:$AO$21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E-114C-46F3-B615-06A19943F998}"/>
            </c:ext>
          </c:extLst>
        </c:ser>
        <c:ser>
          <c:idx val="55"/>
          <c:order val="55"/>
          <c:tx>
            <c:strRef>
              <c:f>Tabelle3!$AI$22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F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0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Tabelle3!$AN$22:$AN$23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Tabelle3!$AO$22:$AO$23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1-114C-46F3-B615-06A19943F998}"/>
            </c:ext>
          </c:extLst>
        </c:ser>
        <c:ser>
          <c:idx val="56"/>
          <c:order val="56"/>
          <c:tx>
            <c:strRef>
              <c:f>Tabelle3!$AI$24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2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3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Tabelle3!$AN$24:$AN$25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Tabelle3!$AO$24:$AO$25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4-114C-46F3-B615-06A19943F998}"/>
            </c:ext>
          </c:extLst>
        </c:ser>
        <c:ser>
          <c:idx val="57"/>
          <c:order val="57"/>
          <c:tx>
            <c:strRef>
              <c:f>Tabelle3!$AI$26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5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6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Tabelle3!$AN$26:$AN$27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Tabelle3!$AO$26:$AO$27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7-114C-46F3-B615-06A19943F998}"/>
            </c:ext>
          </c:extLst>
        </c:ser>
        <c:ser>
          <c:idx val="58"/>
          <c:order val="58"/>
          <c:tx>
            <c:strRef>
              <c:f>Tabelle3!$AI$28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8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9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Tabelle3!$AN$28:$AN$29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Tabelle3!$AO$28:$AO$29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A-114C-46F3-B615-06A19943F998}"/>
            </c:ext>
          </c:extLst>
        </c:ser>
        <c:ser>
          <c:idx val="59"/>
          <c:order val="59"/>
          <c:tx>
            <c:strRef>
              <c:f>Tabelle3!$AI$30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B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C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Tabelle3!$AN$30:$AN$31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Tabelle3!$AO$30:$AO$31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D-114C-46F3-B615-06A19943F998}"/>
            </c:ext>
          </c:extLst>
        </c:ser>
        <c:ser>
          <c:idx val="60"/>
          <c:order val="60"/>
          <c:tx>
            <c:strRef>
              <c:f>Tabelle3!$AI$32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E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F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Tabelle3!$AN$32:$AN$33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Tabelle3!$AO$32:$AO$33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0-114C-46F3-B615-06A19943F998}"/>
            </c:ext>
          </c:extLst>
        </c:ser>
        <c:ser>
          <c:idx val="61"/>
          <c:order val="61"/>
          <c:tx>
            <c:strRef>
              <c:f>Tabelle3!$AI$34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1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2-114C-46F3-B615-06A19943F998}"/>
                </c:ex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Tabelle3!$AN$34:$AN$35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Tabelle3!$AO$34:$AO$35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3-114C-46F3-B615-06A19943F998}"/>
            </c:ext>
          </c:extLst>
        </c:ser>
        <c:ser>
          <c:idx val="62"/>
          <c:order val="62"/>
          <c:tx>
            <c:strRef>
              <c:f>Tabelle3!$AI$36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4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5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Tabelle3!$AN$36:$AN$37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Tabelle3!$AO$36:$AO$37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6-114C-46F3-B615-06A19943F998}"/>
            </c:ext>
          </c:extLst>
        </c:ser>
        <c:ser>
          <c:idx val="63"/>
          <c:order val="63"/>
          <c:tx>
            <c:strRef>
              <c:f>Tabelle3!$AI$38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7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8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Tabelle3!$AN$38:$AN$39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Tabelle3!$AO$38:$AO$39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9-114C-46F3-B615-06A19943F998}"/>
            </c:ext>
          </c:extLst>
        </c:ser>
        <c:ser>
          <c:idx val="64"/>
          <c:order val="64"/>
          <c:tx>
            <c:strRef>
              <c:f>Tabelle3!$AI$40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A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B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Tabelle3!$AN$40:$AN$41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Tabelle3!$AO$40:$AO$41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C-114C-46F3-B615-06A19943F998}"/>
            </c:ext>
          </c:extLst>
        </c:ser>
        <c:ser>
          <c:idx val="65"/>
          <c:order val="65"/>
          <c:tx>
            <c:strRef>
              <c:f>Tabelle3!$AI$42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D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E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Tabelle3!$AN$42:$AN$43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Tabelle3!$AO$42:$AO$43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F-114C-46F3-B615-06A19943F998}"/>
            </c:ext>
          </c:extLst>
        </c:ser>
        <c:ser>
          <c:idx val="66"/>
          <c:order val="66"/>
          <c:tx>
            <c:strRef>
              <c:f>Tabelle3!$AI$44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0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1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Tabelle3!$AN$44:$AN$45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Tabelle3!$AO$44:$AO$45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2-114C-46F3-B615-06A19943F998}"/>
            </c:ext>
          </c:extLst>
        </c:ser>
        <c:ser>
          <c:idx val="67"/>
          <c:order val="67"/>
          <c:tx>
            <c:strRef>
              <c:f>Tabelle3!$AI$46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3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4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Tabelle3!$AN$46:$AN$47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Tabelle3!$AO$46:$AO$47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5-114C-46F3-B615-06A19943F998}"/>
            </c:ext>
          </c:extLst>
        </c:ser>
        <c:ser>
          <c:idx val="68"/>
          <c:order val="68"/>
          <c:tx>
            <c:strRef>
              <c:f>Tabelle3!$AI$48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Tabelle3!$AN$48:$AN$49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Tabelle3!$AO$48:$AO$49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6-114C-46F3-B615-06A19943F998}"/>
            </c:ext>
          </c:extLst>
        </c:ser>
        <c:ser>
          <c:idx val="69"/>
          <c:order val="69"/>
          <c:tx>
            <c:strRef>
              <c:f>Tabelle3!$AI$50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Tabelle3!$AN$50:$AN$51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Tabelle3!$AO$50:$AO$51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7-114C-46F3-B615-06A19943F998}"/>
            </c:ext>
          </c:extLst>
        </c:ser>
        <c:ser>
          <c:idx val="70"/>
          <c:order val="70"/>
          <c:tx>
            <c:strRef>
              <c:f>Tabelle3!$AJ$52</c:f>
              <c:strCache>
                <c:ptCount val="1"/>
                <c:pt idx="0">
                  <c:v>Segment 25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Tabelle3!$AN$52:$AN$53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Tabelle3!$AO$52:$AO$53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8-114C-46F3-B615-06A19943F998}"/>
            </c:ext>
          </c:extLst>
        </c:ser>
        <c:ser>
          <c:idx val="71"/>
          <c:order val="71"/>
          <c:tx>
            <c:strRef>
              <c:f>Tabelle3!$AJ$54</c:f>
              <c:strCache>
                <c:ptCount val="1"/>
                <c:pt idx="0">
                  <c:v>Segment 26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Tabelle3!$AN$54:$AN$55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Tabelle3!$AO$54:$AO$55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9-114C-46F3-B615-06A19943F998}"/>
            </c:ext>
          </c:extLst>
        </c:ser>
        <c:ser>
          <c:idx val="72"/>
          <c:order val="72"/>
          <c:tx>
            <c:strRef>
              <c:f>Tabelle3!$AJ$56</c:f>
              <c:strCache>
                <c:ptCount val="1"/>
                <c:pt idx="0">
                  <c:v>Segment 27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Tabelle3!$AN$56:$AN$57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Tabelle3!$AO$56:$AO$57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A-114C-46F3-B615-06A19943F998}"/>
            </c:ext>
          </c:extLst>
        </c:ser>
        <c:ser>
          <c:idx val="73"/>
          <c:order val="73"/>
          <c:tx>
            <c:strRef>
              <c:f>Tabelle3!$AJ$58</c:f>
              <c:strCache>
                <c:ptCount val="1"/>
                <c:pt idx="0">
                  <c:v>Segment 28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Tabelle3!$AN$58:$AN$59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Tabelle3!$AO$58:$AO$59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B-114C-46F3-B615-06A19943F998}"/>
            </c:ext>
          </c:extLst>
        </c:ser>
        <c:ser>
          <c:idx val="74"/>
          <c:order val="74"/>
          <c:tx>
            <c:strRef>
              <c:f>Tabelle3!$AJ$60</c:f>
              <c:strCache>
                <c:ptCount val="1"/>
                <c:pt idx="0">
                  <c:v>Segment 29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Tabelle3!$AN$60:$AN$61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Tabelle3!$AO$60:$AO$61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C-114C-46F3-B615-06A19943F998}"/>
            </c:ext>
          </c:extLst>
        </c:ser>
        <c:ser>
          <c:idx val="75"/>
          <c:order val="75"/>
          <c:tx>
            <c:strRef>
              <c:f>Tabelle3!$AJ$62</c:f>
              <c:strCache>
                <c:ptCount val="1"/>
                <c:pt idx="0">
                  <c:v>Segment 30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Tabelle3!$AN$62:$AN$63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Tabelle3!$AO$62:$AO$63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D-114C-46F3-B615-06A19943F998}"/>
            </c:ext>
          </c:extLst>
        </c:ser>
        <c:ser>
          <c:idx val="76"/>
          <c:order val="76"/>
          <c:tx>
            <c:strRef>
              <c:f>Tabelle3!$AJ$64</c:f>
              <c:strCache>
                <c:ptCount val="1"/>
                <c:pt idx="0">
                  <c:v>Segment 31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Tabelle3!$AN$64:$AN$65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Tabelle3!$AO$64:$AO$65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E-114C-46F3-B615-06A19943F998}"/>
            </c:ext>
          </c:extLst>
        </c:ser>
        <c:ser>
          <c:idx val="77"/>
          <c:order val="77"/>
          <c:tx>
            <c:strRef>
              <c:f>Tabelle3!$AJ$66</c:f>
              <c:strCache>
                <c:ptCount val="1"/>
                <c:pt idx="0">
                  <c:v>Segment 32</c:v>
                </c:pt>
              </c:strCache>
            </c:strRef>
          </c:tx>
          <c:spPr>
            <a:ln w="19050" cap="rnd" cmpd="dbl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Tabelle3!$AN$66:$AN$67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Tabelle3!$AO$66:$AO$67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F-114C-46F3-B615-06A19943F998}"/>
            </c:ext>
          </c:extLst>
        </c:ser>
        <c:ser>
          <c:idx val="78"/>
          <c:order val="78"/>
          <c:tx>
            <c:strRef>
              <c:f>Tabelle3!$BC$31</c:f>
              <c:strCache>
                <c:ptCount val="1"/>
                <c:pt idx="0">
                  <c:v>Pumpe 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Tabelle3!$BD$31:$BD$32</c:f>
              <c:numCache>
                <c:formatCode>General</c:formatCode>
                <c:ptCount val="2"/>
                <c:pt idx="0">
                  <c:v>-218</c:v>
                </c:pt>
                <c:pt idx="1">
                  <c:v>-78</c:v>
                </c:pt>
              </c:numCache>
            </c:numRef>
          </c:xVal>
          <c:yVal>
            <c:numRef>
              <c:f>Tabelle3!$BE$31:$BE$32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0-114C-46F3-B615-06A19943F998}"/>
            </c:ext>
          </c:extLst>
        </c:ser>
        <c:ser>
          <c:idx val="79"/>
          <c:order val="79"/>
          <c:tx>
            <c:strRef>
              <c:f>Tabelle3!$BC$33</c:f>
              <c:strCache>
                <c:ptCount val="1"/>
                <c:pt idx="0">
                  <c:v>Pumpe 1a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Tabelle3!$BD$33:$BD$34</c:f>
              <c:numCache>
                <c:formatCode>General</c:formatCode>
                <c:ptCount val="2"/>
                <c:pt idx="0">
                  <c:v>-218</c:v>
                </c:pt>
                <c:pt idx="1">
                  <c:v>-238</c:v>
                </c:pt>
              </c:numCache>
            </c:numRef>
          </c:xVal>
          <c:yVal>
            <c:numRef>
              <c:f>Tabelle3!$BE$33:$BE$34</c:f>
              <c:numCache>
                <c:formatCode>General</c:formatCode>
                <c:ptCount val="2"/>
                <c:pt idx="0">
                  <c:v>0</c:v>
                </c:pt>
                <c:pt idx="1">
                  <c:v>-50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1-114C-46F3-B615-06A19943F998}"/>
            </c:ext>
          </c:extLst>
        </c:ser>
        <c:ser>
          <c:idx val="80"/>
          <c:order val="80"/>
          <c:tx>
            <c:strRef>
              <c:f>Tabelle3!$BC$35</c:f>
              <c:strCache>
                <c:ptCount val="1"/>
                <c:pt idx="0">
                  <c:v>Pumpe 1b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Tabelle3!$BD$35:$BD$36</c:f>
              <c:numCache>
                <c:formatCode>General</c:formatCode>
                <c:ptCount val="2"/>
                <c:pt idx="0">
                  <c:v>-78</c:v>
                </c:pt>
                <c:pt idx="1">
                  <c:v>-58</c:v>
                </c:pt>
              </c:numCache>
            </c:numRef>
          </c:xVal>
          <c:yVal>
            <c:numRef>
              <c:f>Tabelle3!$BE$35:$BE$36</c:f>
              <c:numCache>
                <c:formatCode>General</c:formatCode>
                <c:ptCount val="2"/>
                <c:pt idx="0">
                  <c:v>0</c:v>
                </c:pt>
                <c:pt idx="1">
                  <c:v>-50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2-114C-46F3-B615-06A19943F998}"/>
            </c:ext>
          </c:extLst>
        </c:ser>
        <c:ser>
          <c:idx val="81"/>
          <c:order val="81"/>
          <c:tx>
            <c:strRef>
              <c:f>Tabelle3!$BC$39</c:f>
              <c:strCache>
                <c:ptCount val="1"/>
                <c:pt idx="0">
                  <c:v>Pumpe 2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Tabelle3!$BD$39:$BD$40</c:f>
            </c:numRef>
          </c:xVal>
          <c:yVal>
            <c:numRef>
              <c:f>Tabelle3!$BE$39:$BE$40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3-114C-46F3-B615-06A19943F998}"/>
            </c:ext>
          </c:extLst>
        </c:ser>
        <c:ser>
          <c:idx val="82"/>
          <c:order val="82"/>
          <c:tx>
            <c:strRef>
              <c:f>Tabelle3!$BC$41</c:f>
              <c:strCache>
                <c:ptCount val="1"/>
                <c:pt idx="0">
                  <c:v>Pumpe 2a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Tabelle3!$BD$41:$BD$42</c:f>
            </c:numRef>
          </c:xVal>
          <c:yVal>
            <c:numRef>
              <c:f>Tabelle3!$BE$41:$BE$42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4-114C-46F3-B615-06A19943F998}"/>
            </c:ext>
          </c:extLst>
        </c:ser>
        <c:ser>
          <c:idx val="83"/>
          <c:order val="83"/>
          <c:tx>
            <c:strRef>
              <c:f>Tabelle3!$BC$43</c:f>
              <c:strCache>
                <c:ptCount val="1"/>
                <c:pt idx="0">
                  <c:v>Pumpe 2b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Tabelle3!$BD$43:$BD$44</c:f>
            </c:numRef>
          </c:xVal>
          <c:yVal>
            <c:numRef>
              <c:f>Tabelle3!$BE$43:$BE$44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5-114C-46F3-B615-06A19943F998}"/>
            </c:ext>
          </c:extLst>
        </c:ser>
        <c:ser>
          <c:idx val="84"/>
          <c:order val="84"/>
          <c:tx>
            <c:strRef>
              <c:f>Tabelle3!$BG$6</c:f>
              <c:strCache>
                <c:ptCount val="1"/>
                <c:pt idx="0">
                  <c:v>ID=1000 mm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  <a:headEnd type="triangle" w="med" len="lg"/>
              <a:tailEnd type="triangle" w="med" len="lg"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6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356467221505747"/>
                  <c:y val="-2.208457900913565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7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Tabelle3!$BG$4:$BG$5</c:f>
              <c:numCache>
                <c:formatCode>General</c:formatCode>
                <c:ptCount val="2"/>
                <c:pt idx="0">
                  <c:v>-500</c:v>
                </c:pt>
                <c:pt idx="1">
                  <c:v>500</c:v>
                </c:pt>
              </c:numCache>
            </c:numRef>
          </c:xVal>
          <c:yVal>
            <c:numRef>
              <c:f>Tabelle3!$BH$4:$BH$5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8-114C-46F3-B615-06A19943F998}"/>
            </c:ext>
          </c:extLst>
        </c:ser>
        <c:ser>
          <c:idx val="85"/>
          <c:order val="85"/>
          <c:tx>
            <c:strRef>
              <c:f>Tabelle3!$BJ$4</c:f>
              <c:strCache>
                <c:ptCount val="1"/>
                <c:pt idx="0">
                  <c:v>Pozzo BS 0 M.ü.M</c:v>
                </c:pt>
              </c:strCache>
            </c:strRef>
          </c:tx>
          <c:spPr>
            <a:ln w="60325" cap="rnd">
              <a:solidFill>
                <a:schemeClr val="tx1"/>
              </a:solidFill>
              <a:round/>
              <a:headEnd type="triangle"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9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453680900659295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A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Tabelle3!$BK$4:$BK$5</c:f>
              <c:numCache>
                <c:formatCode>General</c:formatCode>
                <c:ptCount val="2"/>
                <c:pt idx="0">
                  <c:v>925</c:v>
                </c:pt>
                <c:pt idx="1">
                  <c:v>925</c:v>
                </c:pt>
              </c:numCache>
            </c:numRef>
          </c:xVal>
          <c:yVal>
            <c:numRef>
              <c:f>Tabelle3!$BL$4:$BL$5</c:f>
              <c:numCache>
                <c:formatCode>General</c:formatCode>
                <c:ptCount val="2"/>
                <c:pt idx="0" formatCode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B-114C-46F3-B615-06A19943F998}"/>
            </c:ext>
          </c:extLst>
        </c:ser>
        <c:ser>
          <c:idx val="86"/>
          <c:order val="86"/>
          <c:tx>
            <c:strRef>
              <c:f>Tabelle3!$BJ$7</c:f>
              <c:strCache>
                <c:ptCount val="1"/>
                <c:pt idx="0">
                  <c:v>#WERT!</c:v>
                </c:pt>
              </c:strCache>
            </c:strRef>
          </c:tx>
          <c:spPr>
            <a:ln w="60325" cap="rnd">
              <a:solidFill>
                <a:schemeClr val="tx1"/>
              </a:solidFill>
              <a:round/>
              <a:headEnd type="triangle"/>
            </a:ln>
            <a:effectLst/>
          </c:spPr>
          <c:marker>
            <c:symbol val="none"/>
          </c:marker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C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Tabelle3!$BK$7:$BK$8</c:f>
              <c:numCache>
                <c:formatCode>General</c:formatCode>
                <c:ptCount val="2"/>
                <c:pt idx="0">
                  <c:v>925</c:v>
                </c:pt>
                <c:pt idx="1">
                  <c:v>925</c:v>
                </c:pt>
              </c:numCache>
            </c:numRef>
          </c:xVal>
          <c:yVal>
            <c:numRef>
              <c:f>Tabelle3!$BL$7:$BL$8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D-114C-46F3-B615-06A19943F998}"/>
            </c:ext>
          </c:extLst>
        </c:ser>
        <c:ser>
          <c:idx val="87"/>
          <c:order val="87"/>
          <c:tx>
            <c:strRef>
              <c:f>Tabelle3!$BJ$10</c:f>
              <c:strCache>
                <c:ptCount val="1"/>
                <c:pt idx="0">
                  <c:v>#WERT!</c:v>
                </c:pt>
              </c:strCache>
            </c:strRef>
          </c:tx>
          <c:spPr>
            <a:ln w="57150" cap="rnd">
              <a:solidFill>
                <a:schemeClr val="tx1"/>
              </a:solidFill>
              <a:round/>
              <a:headEnd type="triangle"/>
              <a:tailEnd type="none"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E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2951303377473018E-3"/>
                  <c:y val="-2.208458802968956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F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Tabelle3!$BK$10:$BK$11</c:f>
              <c:numCache>
                <c:formatCode>General</c:formatCode>
                <c:ptCount val="2"/>
                <c:pt idx="0">
                  <c:v>925</c:v>
                </c:pt>
                <c:pt idx="1">
                  <c:v>925</c:v>
                </c:pt>
              </c:numCache>
            </c:numRef>
          </c:xVal>
          <c:yVal>
            <c:numRef>
              <c:f>Tabelle3!$BL$10:$BL$11</c:f>
              <c:numCache>
                <c:formatCode>General</c:formatCode>
                <c:ptCount val="2"/>
                <c:pt idx="0">
                  <c:v>0</c:v>
                </c:pt>
                <c:pt idx="1">
                  <c:v>50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A0-114C-46F3-B615-06A19943F998}"/>
            </c:ext>
          </c:extLst>
        </c:ser>
        <c:ser>
          <c:idx val="88"/>
          <c:order val="88"/>
          <c:tx>
            <c:strRef>
              <c:f>Tabelle3!$BJ$13</c:f>
              <c:strCache>
                <c:ptCount val="1"/>
                <c:pt idx="0">
                  <c:v>Grundlinie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Tabelle3!$BK$13:$BK$14</c:f>
              <c:numCache>
                <c:formatCode>General</c:formatCode>
                <c:ptCount val="2"/>
                <c:pt idx="0">
                  <c:v>-1500</c:v>
                </c:pt>
                <c:pt idx="1">
                  <c:v>1500</c:v>
                </c:pt>
              </c:numCache>
            </c:numRef>
          </c:xVal>
          <c:yVal>
            <c:numRef>
              <c:f>Tabelle3!$BL$13:$BL$14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A1-114C-46F3-B615-06A19943F998}"/>
            </c:ext>
          </c:extLst>
        </c:ser>
        <c:ser>
          <c:idx val="89"/>
          <c:order val="89"/>
          <c:tx>
            <c:strRef>
              <c:f>Tabelle3!$BC$69</c:f>
              <c:strCache>
                <c:ptCount val="1"/>
                <c:pt idx="0">
                  <c:v>#WERT!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2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Tabelle3!$BD$69:$BD$70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Tabelle3!$BE$69:$BE$70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A3-114C-46F3-B615-06A19943F998}"/>
            </c:ext>
          </c:extLst>
        </c:ser>
        <c:ser>
          <c:idx val="90"/>
          <c:order val="90"/>
          <c:tx>
            <c:strRef>
              <c:f>Tabelle3!$BD$74</c:f>
              <c:strCache>
                <c:ptCount val="1"/>
              </c:strCache>
            </c:strRef>
          </c:tx>
          <c:spPr>
            <a:ln w="57150" cmpd="sng">
              <a:solidFill>
                <a:srgbClr val="800000"/>
              </a:solidFill>
              <a:headEnd type="triangle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4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065904694251964E-2"/>
                  <c:y val="1.472305868645971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5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solidFill>
                  <a:schemeClr val="bg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Ref>
              <c:f>Tabelle3!$BD$76:$BD$77</c:f>
            </c:numRef>
          </c:xVal>
          <c:yVal>
            <c:numRef>
              <c:f>Tabelle3!$BE$76:$BE$77</c:f>
              <c:numCache>
                <c:formatCode>General</c:formatCode>
                <c:ptCount val="2"/>
                <c:pt idx="0">
                  <c:v>-1000</c:v>
                </c:pt>
                <c:pt idx="1">
                  <c:v>-1000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A7-114C-46F3-B615-06A19943F998}"/>
            </c:ext>
          </c:extLst>
        </c:ser>
        <c:ser>
          <c:idx val="91"/>
          <c:order val="91"/>
          <c:tx>
            <c:strRef>
              <c:f>Tabelle3!$BJ$17</c:f>
              <c:strCache>
                <c:ptCount val="1"/>
                <c:pt idx="0">
                  <c:v>PDL                     S=  M.ü.M.</c:v>
                </c:pt>
              </c:strCache>
            </c:strRef>
          </c:tx>
          <c:spPr>
            <a:ln w="38100">
              <a:solidFill>
                <a:schemeClr val="tx1"/>
              </a:solidFill>
              <a:headEnd type="triangle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4131117136405087E-2"/>
                  <c:y val="-3.68075060247727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>
                      <a:latin typeface="Arial Narrow" panose="020B0606020202030204" pitchFamily="34" charset="0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8-114C-46F3-B615-06A19943F998}"/>
                </c:ext>
                <c:ext xmlns:c15="http://schemas.microsoft.com/office/drawing/2012/chart" uri="{CE6537A1-D6FC-4f65-9D91-7224C49458BB}">
                  <c15:layout>
                    <c:manualLayout>
                      <c:w val="0.14571174889749927"/>
                      <c:h val="4.8448129004892322E-2"/>
                    </c:manualLayout>
                  </c15:layout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9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Tabelle3!$BK$17:$BK$18</c:f>
              <c:numCache>
                <c:formatCode>General</c:formatCode>
                <c:ptCount val="2"/>
                <c:pt idx="0">
                  <c:v>728</c:v>
                </c:pt>
                <c:pt idx="1">
                  <c:v>728</c:v>
                </c:pt>
              </c:numCache>
            </c:numRef>
          </c:xVal>
          <c:yVal>
            <c:numRef>
              <c:f>Tabelle3!$BL$17:$BL$18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AA-114C-46F3-B615-06A19943F998}"/>
            </c:ext>
          </c:extLst>
        </c:ser>
        <c:ser>
          <c:idx val="92"/>
          <c:order val="92"/>
          <c:tx>
            <c:strRef>
              <c:f>Tabelle3!$Z$23</c:f>
              <c:strCache>
                <c:ptCount val="1"/>
                <c:pt idx="0">
                  <c:v>#WERT!</c:v>
                </c:pt>
              </c:strCache>
            </c:strRef>
          </c:tx>
          <c:spPr>
            <a:ln w="34925">
              <a:solidFill>
                <a:srgbClr val="D6A300"/>
              </a:solidFill>
              <a:prstDash val="solid"/>
              <a:tailEnd type="oval"/>
            </a:ln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rgbClr val="D6A300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B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C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Tabelle3!$AC$23:$AC$24</c:f>
              <c:numCache>
                <c:formatCode>General</c:formatCode>
                <c:ptCount val="2"/>
                <c:pt idx="0">
                  <c:v>-288</c:v>
                </c:pt>
                <c:pt idx="1">
                  <c:v>-248</c:v>
                </c:pt>
              </c:numCache>
            </c:numRef>
          </c:xVal>
          <c:yVal>
            <c:numRef>
              <c:f>Tabelle3!$AD$23:$AD$24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AD-114C-46F3-B615-06A19943F998}"/>
            </c:ext>
          </c:extLst>
        </c:ser>
        <c:ser>
          <c:idx val="93"/>
          <c:order val="93"/>
          <c:tx>
            <c:strRef>
              <c:f>Tabelle3!$Z$26</c:f>
              <c:strCache>
                <c:ptCount val="1"/>
              </c:strCache>
            </c:strRef>
          </c:tx>
          <c:spPr>
            <a:ln w="34925">
              <a:solidFill>
                <a:srgbClr val="D6A300"/>
              </a:solidFill>
              <a:prstDash val="sysDash"/>
              <a:headEnd type="none"/>
              <a:tailEnd type="oval"/>
            </a:ln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rgbClr val="D6A300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F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D6A300"/>
                    </a:solidFill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Tabelle3!$AC$26:$AC$27</c:f>
            </c:numRef>
          </c:xVal>
          <c:yVal>
            <c:numRef>
              <c:f>Tabelle3!$AD$26:$AD$27</c:f>
              <c:numCache>
                <c:formatCode>General</c:formatCode>
                <c:ptCount val="2"/>
                <c:pt idx="0">
                  <c:v>-1000</c:v>
                </c:pt>
                <c:pt idx="1">
                  <c:v>-1000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B0-114C-46F3-B615-06A19943F998}"/>
            </c:ext>
          </c:extLst>
        </c:ser>
        <c:ser>
          <c:idx val="94"/>
          <c:order val="94"/>
          <c:tx>
            <c:strRef>
              <c:f>Tabelle3!$Z$29</c:f>
              <c:strCache>
                <c:ptCount val="1"/>
                <c:pt idx="0">
                  <c:v>birne auf VN</c:v>
                </c:pt>
              </c:strCache>
            </c:strRef>
          </c:tx>
          <c:spPr>
            <a:ln w="34925">
              <a:solidFill>
                <a:srgbClr val="D6A300"/>
              </a:solidFill>
              <a:tailEnd type="oval"/>
            </a:ln>
          </c:spPr>
          <c:marker>
            <c:symbol val="none"/>
          </c:marker>
          <c:xVal>
            <c:numRef>
              <c:f>Tabelle3!$AC$29:$AC$30</c:f>
              <c:numCache>
                <c:formatCode>General</c:formatCode>
                <c:ptCount val="2"/>
                <c:pt idx="0">
                  <c:v>-288</c:v>
                </c:pt>
                <c:pt idx="1">
                  <c:v>-248</c:v>
                </c:pt>
              </c:numCache>
            </c:numRef>
          </c:xVal>
          <c:yVal>
            <c:numRef>
              <c:f>Tabelle3!$AD$29:$AD$30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B1-114C-46F3-B615-06A19943F998}"/>
            </c:ext>
          </c:extLst>
        </c:ser>
        <c:ser>
          <c:idx val="95"/>
          <c:order val="95"/>
          <c:tx>
            <c:strRef>
              <c:f>Tabelle3!$Z$31</c:f>
              <c:strCache>
                <c:ptCount val="1"/>
                <c:pt idx="0">
                  <c:v>Birne auf SU</c:v>
                </c:pt>
              </c:strCache>
            </c:strRef>
          </c:tx>
          <c:spPr>
            <a:ln w="34925">
              <a:solidFill>
                <a:srgbClr val="D6A300"/>
              </a:solidFill>
              <a:tailEnd type="oval"/>
            </a:ln>
          </c:spPr>
          <c:marker>
            <c:symbol val="none"/>
          </c:marker>
          <c:xVal>
            <c:numRef>
              <c:f>Tabelle3!$AC$31:$AC$32</c:f>
              <c:numCache>
                <c:formatCode>General</c:formatCode>
                <c:ptCount val="2"/>
                <c:pt idx="0">
                  <c:v>-188</c:v>
                </c:pt>
                <c:pt idx="1">
                  <c:v>-148</c:v>
                </c:pt>
              </c:numCache>
            </c:numRef>
          </c:xVal>
          <c:yVal>
            <c:numRef>
              <c:f>Tabelle3!$AD$31:$AD$32</c:f>
              <c:numCache>
                <c:formatCode>General</c:formatCode>
                <c:ptCount val="2"/>
                <c:pt idx="0">
                  <c:v>280</c:v>
                </c:pt>
                <c:pt idx="1">
                  <c:v>170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B2-114C-46F3-B615-06A19943F998}"/>
            </c:ext>
          </c:extLst>
        </c:ser>
        <c:ser>
          <c:idx val="96"/>
          <c:order val="96"/>
          <c:tx>
            <c:strRef>
              <c:f>Tabelle3!$BG$39</c:f>
              <c:strCache>
                <c:ptCount val="1"/>
                <c:pt idx="0">
                  <c:v>#WERT!</c:v>
                </c:pt>
              </c:strCache>
            </c:strRef>
          </c:tx>
          <c:spPr>
            <a:ln w="15875">
              <a:solidFill>
                <a:srgbClr val="00B05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B3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446111208405555E-2"/>
                  <c:y val="-3.680764671614928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B4-114C-46F3-B615-06A19943F99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Tabelle3!$BG$45:$BG$46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Tabelle3!$BH$45:$BH$46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B5-114C-46F3-B615-06A19943F998}"/>
            </c:ext>
          </c:extLst>
        </c:ser>
        <c:ser>
          <c:idx val="99"/>
          <c:order val="97"/>
          <c:tx>
            <c:strRef>
              <c:f>Linkauswahl!$L$40</c:f>
              <c:strCache>
                <c:ptCount val="1"/>
              </c:strCache>
            </c:strRef>
          </c:tx>
          <c:spPr>
            <a:ln w="25400">
              <a:solidFill>
                <a:srgbClr val="FF0000"/>
              </a:solidFill>
              <a:prstDash val="sysDot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B6-114C-46F3-B615-06A19943F99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251147674648952"/>
                  <c:y val="2.30047791975933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B7-114C-46F3-B615-06A19943F998}"/>
                </c:ext>
                <c:ext xmlns:c15="http://schemas.microsoft.com/office/drawing/2012/chart" uri="{CE6537A1-D6FC-4f65-9D91-7224C49458BB}">
                  <c15:layout>
                    <c:manualLayout>
                      <c:w val="0.35060324095473511"/>
                      <c:h val="3.7562203473830345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xVal>
            <c:numRef>
              <c:f>Linkauswahl!$L$42:$L$43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Linkauswahl!$M$42:$M$43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B8-114C-46F3-B615-06A19943F998}"/>
            </c:ext>
          </c:extLst>
        </c:ser>
        <c:ser>
          <c:idx val="97"/>
          <c:order val="98"/>
          <c:tx>
            <c:strRef>
              <c:f>Tabelle3!$K$83</c:f>
              <c:strCache>
                <c:ptCount val="1"/>
                <c:pt idx="0">
                  <c:v>29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Tabelle3!$L$83:$L$84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xVal>
          <c:yVal>
            <c:numRef>
              <c:f>Tabelle3!$M$83:$M$84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18A8-4DA2-8015-464A53353302}"/>
            </c:ext>
          </c:extLst>
        </c:ser>
        <c:ser>
          <c:idx val="98"/>
          <c:order val="99"/>
          <c:tx>
            <c:strRef>
              <c:f>Tabelle3!$K$85</c:f>
              <c:strCache>
                <c:ptCount val="1"/>
                <c:pt idx="0">
                  <c:v>30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Tabelle3!$L$85:$L$86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xVal>
          <c:yVal>
            <c:numRef>
              <c:f>Tabelle3!$M$85:$M$86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18A8-4DA2-8015-464A53353302}"/>
            </c:ext>
          </c:extLst>
        </c:ser>
        <c:ser>
          <c:idx val="100"/>
          <c:order val="100"/>
          <c:tx>
            <c:strRef>
              <c:f>Tabelle3!$K$87</c:f>
              <c:strCache>
                <c:ptCount val="1"/>
                <c:pt idx="0">
                  <c:v>31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Tabelle3!$L$87:$L$88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xVal>
          <c:yVal>
            <c:numRef>
              <c:f>Tabelle3!$M$87:$M$88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18A8-4DA2-8015-464A53353302}"/>
            </c:ext>
          </c:extLst>
        </c:ser>
        <c:ser>
          <c:idx val="101"/>
          <c:order val="101"/>
          <c:tx>
            <c:strRef>
              <c:f>Tabelle3!$K$89</c:f>
              <c:strCache>
                <c:ptCount val="1"/>
                <c:pt idx="0">
                  <c:v>32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Tabelle3!$L$89:$L$90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xVal>
          <c:yVal>
            <c:numRef>
              <c:f>Tabelle3!$M$89:$M$90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18A8-4DA2-8015-464A53353302}"/>
            </c:ext>
          </c:extLst>
        </c:ser>
        <c:ser>
          <c:idx val="102"/>
          <c:order val="102"/>
          <c:tx>
            <c:strRef>
              <c:f>Tabelle3!$I$92</c:f>
              <c:strCache>
                <c:ptCount val="1"/>
                <c:pt idx="0">
                  <c:v>333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Tabelle3!$L$91:$L$92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xVal>
          <c:yVal>
            <c:numRef>
              <c:f>Tabelle3!$M$91:$M$92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18A8-4DA2-8015-464A53353302}"/>
            </c:ext>
          </c:extLst>
        </c:ser>
        <c:ser>
          <c:idx val="103"/>
          <c:order val="103"/>
          <c:tx>
            <c:strRef>
              <c:f>Tabelle3!$K$93</c:f>
              <c:strCache>
                <c:ptCount val="1"/>
                <c:pt idx="0">
                  <c:v>34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Tabelle3!$L$93:$L$94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xVal>
          <c:yVal>
            <c:numRef>
              <c:f>Tabelle3!$M$93:$M$94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18A8-4DA2-8015-464A53353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478144"/>
        <c:axId val="199476968"/>
      </c:scatterChart>
      <c:valAx>
        <c:axId val="199478144"/>
        <c:scaling>
          <c:orientation val="minMax"/>
          <c:max val="2000"/>
          <c:min val="-175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99476968"/>
        <c:crosses val="autoZero"/>
        <c:crossBetween val="midCat"/>
        <c:majorUnit val="250"/>
        <c:minorUnit val="250"/>
      </c:valAx>
      <c:valAx>
        <c:axId val="199476968"/>
        <c:scaling>
          <c:orientation val="minMax"/>
          <c:max val="67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  <a:alpha val="28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478144"/>
        <c:crossesAt val="0"/>
        <c:crossBetween val="midCat"/>
        <c:majorUnit val="2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>
      <c:oddHeader>&amp;RMehr als Pumpen</c:oddHeader>
      <c:oddFooter>&amp;LSchachtselector V.1.0</c:oddFooter>
    </c:headerFooter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442563130912775E-2"/>
          <c:y val="2.7872038565719265E-2"/>
          <c:w val="0.77215901407962784"/>
          <c:h val="0.936703433739853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Tabelle3!$BQ$3</c:f>
              <c:strCache>
                <c:ptCount val="1"/>
                <c:pt idx="0">
                  <c:v>segmento successivo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4.809385902808559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4BC-42B7-A0D4-8A33C01C3867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47928178365083152"/>
                      <c:h val="0.14830956272607007"/>
                    </c:manualLayout>
                  </c15:layout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4BC-42B7-A0D4-8A33C01C38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Tabelle3!$BO$3:$BO$4</c:f>
              <c:numCache>
                <c:formatCode>General</c:formatCode>
                <c:ptCount val="2"/>
                <c:pt idx="0">
                  <c:v>6.1</c:v>
                </c:pt>
                <c:pt idx="1">
                  <c:v>6.1</c:v>
                </c:pt>
              </c:numCache>
            </c:numRef>
          </c:xVal>
          <c:yVal>
            <c:numRef>
              <c:f>Tabelle3!$BP$3:$BP$4</c:f>
              <c:numCache>
                <c:formatCode>General</c:formatCode>
                <c:ptCount val="2"/>
                <c:pt idx="0">
                  <c:v>10.4</c:v>
                </c:pt>
                <c:pt idx="1">
                  <c:v>10.4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4BC-42B7-A0D4-8A33C01C3867}"/>
            </c:ext>
          </c:extLst>
        </c:ser>
        <c:ser>
          <c:idx val="1"/>
          <c:order val="1"/>
          <c:tx>
            <c:strRef>
              <c:f>Tabelle3!$BQ$5</c:f>
              <c:strCache>
                <c:ptCount val="1"/>
                <c:pt idx="0">
                  <c:v>Terreno BS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5257323-7C2D-4217-B0B5-DA8456FA6FF9}" type="SERIESNAME">
                      <a:rPr lang="en-US" sz="700">
                        <a:solidFill>
                          <a:srgbClr val="663300"/>
                        </a:solidFill>
                      </a:rPr>
                      <a:pPr algn="l"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[DATENREIHENNAME]</a:t>
                    </a:fld>
                    <a:endParaRPr lang="de-CH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4BC-42B7-A0D4-8A33C01C3867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4BC-42B7-A0D4-8A33C01C38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Tabelle3!$BO$5:$BO$6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Tabelle3!$BP$5:$BP$6</c:f>
              <c:numCache>
                <c:formatCode>General</c:formatCode>
                <c:ptCount val="2"/>
                <c:pt idx="0">
                  <c:v>8.6</c:v>
                </c:pt>
                <c:pt idx="1">
                  <c:v>8.6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A4BC-42B7-A0D4-8A33C01C3867}"/>
            </c:ext>
          </c:extLst>
        </c:ser>
        <c:ser>
          <c:idx val="2"/>
          <c:order val="2"/>
          <c:tx>
            <c:strRef>
              <c:f>Tabelle3!$BQ$7</c:f>
              <c:strCache>
                <c:ptCount val="1"/>
                <c:pt idx="0">
                  <c:v>Apparecchio inferiore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4BC-42B7-A0D4-8A33C01C3867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4BC-42B7-A0D4-8A33C01C38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Tabelle3!$BO$7:$BO$8</c:f>
              <c:numCache>
                <c:formatCode>General</c:formatCode>
                <c:ptCount val="2"/>
                <c:pt idx="0">
                  <c:v>8.6999999999999993</c:v>
                </c:pt>
                <c:pt idx="1">
                  <c:v>8.6999999999999993</c:v>
                </c:pt>
              </c:numCache>
            </c:numRef>
          </c:xVal>
          <c:yVal>
            <c:numRef>
              <c:f>Tabelle3!$BP$7:$BP$8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A4BC-42B7-A0D4-8A33C01C3867}"/>
            </c:ext>
          </c:extLst>
        </c:ser>
        <c:ser>
          <c:idx val="3"/>
          <c:order val="3"/>
          <c:tx>
            <c:strRef>
              <c:f>Tabelle3!$BQ$9</c:f>
              <c:strCache>
                <c:ptCount val="1"/>
                <c:pt idx="0">
                  <c:v>VR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4BC-42B7-A0D4-8A33C01C3867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4BC-42B7-A0D4-8A33C01C38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Tabelle3!$BO$9:$BO$10</c:f>
              <c:numCache>
                <c:formatCode>General</c:formatCode>
                <c:ptCount val="2"/>
                <c:pt idx="0">
                  <c:v>1.2</c:v>
                </c:pt>
                <c:pt idx="1">
                  <c:v>1.2</c:v>
                </c:pt>
              </c:numCache>
            </c:numRef>
          </c:xVal>
          <c:yVal>
            <c:numRef>
              <c:f>Tabelle3!$BP$9:$BP$10</c:f>
              <c:numCache>
                <c:formatCode>General</c:formatCode>
                <c:ptCount val="2"/>
                <c:pt idx="0">
                  <c:v>2.8</c:v>
                </c:pt>
                <c:pt idx="1">
                  <c:v>2.8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A4BC-42B7-A0D4-8A33C01C3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478536"/>
        <c:axId val="199479320"/>
      </c:scatterChart>
      <c:valAx>
        <c:axId val="199478536"/>
        <c:scaling>
          <c:orientation val="minMax"/>
          <c:max val="11"/>
          <c:min val="0"/>
        </c:scaling>
        <c:delete val="1"/>
        <c:axPos val="b"/>
        <c:numFmt formatCode="General" sourceLinked="1"/>
        <c:majorTickMark val="none"/>
        <c:minorTickMark val="none"/>
        <c:tickLblPos val="nextTo"/>
        <c:crossAx val="199479320"/>
        <c:crosses val="autoZero"/>
        <c:crossBetween val="midCat"/>
      </c:valAx>
      <c:valAx>
        <c:axId val="199479320"/>
        <c:scaling>
          <c:orientation val="minMax"/>
          <c:max val="11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19947853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715106307190821E-2"/>
          <c:y val="2.4110690380437696E-2"/>
          <c:w val="0.84939430493984958"/>
          <c:h val="0.9517786192391246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Aufsicht!$J$6</c:f>
              <c:strCache>
                <c:ptCount val="1"/>
                <c:pt idx="0">
                  <c:v>Schacht innen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Aufsicht!$K$10:$K$370</c:f>
              <c:numCache>
                <c:formatCode>General</c:formatCode>
                <c:ptCount val="361"/>
                <c:pt idx="0">
                  <c:v>0</c:v>
                </c:pt>
                <c:pt idx="1">
                  <c:v>8.7262032186417553</c:v>
                </c:pt>
                <c:pt idx="2">
                  <c:v>17.449748351250484</c:v>
                </c:pt>
                <c:pt idx="3">
                  <c:v>26.167978121471915</c:v>
                </c:pt>
                <c:pt idx="4">
                  <c:v>34.878236872062651</c:v>
                </c:pt>
                <c:pt idx="5">
                  <c:v>43.577871373829083</c:v>
                </c:pt>
                <c:pt idx="6">
                  <c:v>52.264231633826725</c:v>
                </c:pt>
                <c:pt idx="7">
                  <c:v>60.934671702573738</c:v>
                </c:pt>
                <c:pt idx="8">
                  <c:v>69.586550480032713</c:v>
                </c:pt>
                <c:pt idx="9">
                  <c:v>78.217232520115431</c:v>
                </c:pt>
                <c:pt idx="10">
                  <c:v>86.824088833465169</c:v>
                </c:pt>
                <c:pt idx="11">
                  <c:v>95.4044976882724</c:v>
                </c:pt>
                <c:pt idx="12">
                  <c:v>103.95584540887965</c:v>
                </c:pt>
                <c:pt idx="13">
                  <c:v>112.4755271719325</c:v>
                </c:pt>
                <c:pt idx="14">
                  <c:v>120.96094779983386</c:v>
                </c:pt>
                <c:pt idx="15">
                  <c:v>129.40952255126038</c:v>
                </c:pt>
                <c:pt idx="16">
                  <c:v>137.81867790849958</c:v>
                </c:pt>
                <c:pt idx="17">
                  <c:v>146.18585236136838</c:v>
                </c:pt>
                <c:pt idx="18">
                  <c:v>154.50849718747369</c:v>
                </c:pt>
                <c:pt idx="19">
                  <c:v>162.78407722857833</c:v>
                </c:pt>
                <c:pt idx="20">
                  <c:v>171.01007166283435</c:v>
                </c:pt>
                <c:pt idx="21">
                  <c:v>179.18397477265015</c:v>
                </c:pt>
                <c:pt idx="22">
                  <c:v>187.30329670795601</c:v>
                </c:pt>
                <c:pt idx="23">
                  <c:v>195.36556424463686</c:v>
                </c:pt>
                <c:pt idx="24">
                  <c:v>203.36832153790007</c:v>
                </c:pt>
                <c:pt idx="25">
                  <c:v>211.30913087034972</c:v>
                </c:pt>
                <c:pt idx="26">
                  <c:v>219.18557339453869</c:v>
                </c:pt>
                <c:pt idx="27">
                  <c:v>226.99524986977337</c:v>
                </c:pt>
                <c:pt idx="28">
                  <c:v>234.7357813929454</c:v>
                </c:pt>
                <c:pt idx="29">
                  <c:v>242.40481012316852</c:v>
                </c:pt>
                <c:pt idx="30">
                  <c:v>249.99999999999997</c:v>
                </c:pt>
                <c:pt idx="31">
                  <c:v>257.5190374550271</c:v>
                </c:pt>
                <c:pt idx="32">
                  <c:v>264.95963211660245</c:v>
                </c:pt>
                <c:pt idx="33">
                  <c:v>272.31951750751352</c:v>
                </c:pt>
                <c:pt idx="34">
                  <c:v>279.59645173537348</c:v>
                </c:pt>
                <c:pt idx="35">
                  <c:v>286.78821817552301</c:v>
                </c:pt>
                <c:pt idx="36">
                  <c:v>293.89262614623658</c:v>
                </c:pt>
                <c:pt idx="37">
                  <c:v>300.90751157602415</c:v>
                </c:pt>
                <c:pt idx="38">
                  <c:v>307.83073766282911</c:v>
                </c:pt>
                <c:pt idx="39">
                  <c:v>314.66019552491872</c:v>
                </c:pt>
                <c:pt idx="40">
                  <c:v>321.39380484326961</c:v>
                </c:pt>
                <c:pt idx="41">
                  <c:v>328.02951449525358</c:v>
                </c:pt>
                <c:pt idx="42">
                  <c:v>334.56530317942912</c:v>
                </c:pt>
                <c:pt idx="43">
                  <c:v>340.99918003124924</c:v>
                </c:pt>
                <c:pt idx="44">
                  <c:v>347.32918522949865</c:v>
                </c:pt>
                <c:pt idx="45">
                  <c:v>353.55339059327372</c:v>
                </c:pt>
                <c:pt idx="46">
                  <c:v>359.66990016932556</c:v>
                </c:pt>
                <c:pt idx="47">
                  <c:v>365.67685080958523</c:v>
                </c:pt>
                <c:pt idx="48">
                  <c:v>371.57241273869704</c:v>
                </c:pt>
                <c:pt idx="49">
                  <c:v>377.35479011138602</c:v>
                </c:pt>
                <c:pt idx="50">
                  <c:v>383.02222155948903</c:v>
                </c:pt>
                <c:pt idx="51">
                  <c:v>388.57298072848539</c:v>
                </c:pt>
                <c:pt idx="52">
                  <c:v>394.005376803361</c:v>
                </c:pt>
                <c:pt idx="53">
                  <c:v>399.31775502364644</c:v>
                </c:pt>
                <c:pt idx="54">
                  <c:v>404.50849718747372</c:v>
                </c:pt>
                <c:pt idx="55">
                  <c:v>409.57602214449588</c:v>
                </c:pt>
                <c:pt idx="56">
                  <c:v>414.51878627752086</c:v>
                </c:pt>
                <c:pt idx="57">
                  <c:v>419.33528397271198</c:v>
                </c:pt>
                <c:pt idx="58">
                  <c:v>424.02404807821296</c:v>
                </c:pt>
                <c:pt idx="59">
                  <c:v>428.58365035105612</c:v>
                </c:pt>
                <c:pt idx="60">
                  <c:v>433.0127018922193</c:v>
                </c:pt>
                <c:pt idx="61">
                  <c:v>437.30985356969785</c:v>
                </c:pt>
                <c:pt idx="62">
                  <c:v>441.47379642946345</c:v>
                </c:pt>
                <c:pt idx="63">
                  <c:v>445.50326209418387</c:v>
                </c:pt>
                <c:pt idx="64">
                  <c:v>449.3970231495835</c:v>
                </c:pt>
                <c:pt idx="65">
                  <c:v>453.15389351832499</c:v>
                </c:pt>
                <c:pt idx="66">
                  <c:v>456.77272882130046</c:v>
                </c:pt>
                <c:pt idx="67">
                  <c:v>460.25242672622011</c:v>
                </c:pt>
                <c:pt idx="68">
                  <c:v>463.59192728339372</c:v>
                </c:pt>
                <c:pt idx="69">
                  <c:v>466.79021324860088</c:v>
                </c:pt>
                <c:pt idx="70">
                  <c:v>469.84631039295414</c:v>
                </c:pt>
                <c:pt idx="71">
                  <c:v>472.75928779965835</c:v>
                </c:pt>
                <c:pt idx="72">
                  <c:v>475.52825814757676</c:v>
                </c:pt>
                <c:pt idx="73">
                  <c:v>478.1523779815177</c:v>
                </c:pt>
                <c:pt idx="74">
                  <c:v>480.63084796915945</c:v>
                </c:pt>
                <c:pt idx="75">
                  <c:v>482.96291314453418</c:v>
                </c:pt>
                <c:pt idx="76">
                  <c:v>485.14786313799823</c:v>
                </c:pt>
                <c:pt idx="77">
                  <c:v>487.18503239261764</c:v>
                </c:pt>
                <c:pt idx="78">
                  <c:v>489.07380036690279</c:v>
                </c:pt>
                <c:pt idx="79">
                  <c:v>490.81359172383196</c:v>
                </c:pt>
                <c:pt idx="80">
                  <c:v>492.40387650610398</c:v>
                </c:pt>
                <c:pt idx="81">
                  <c:v>493.84417029756889</c:v>
                </c:pt>
                <c:pt idx="82">
                  <c:v>495.13403437078512</c:v>
                </c:pt>
                <c:pt idx="83">
                  <c:v>496.27307582066101</c:v>
                </c:pt>
                <c:pt idx="84">
                  <c:v>497.26094768413662</c:v>
                </c:pt>
                <c:pt idx="85">
                  <c:v>498.09734904587276</c:v>
                </c:pt>
                <c:pt idx="86">
                  <c:v>498.78202512991209</c:v>
                </c:pt>
                <c:pt idx="87">
                  <c:v>499.3147673772869</c:v>
                </c:pt>
                <c:pt idx="88">
                  <c:v>499.6954135095479</c:v>
                </c:pt>
                <c:pt idx="89">
                  <c:v>499.92384757819565</c:v>
                </c:pt>
                <c:pt idx="90">
                  <c:v>500</c:v>
                </c:pt>
                <c:pt idx="91">
                  <c:v>499.92384757819565</c:v>
                </c:pt>
                <c:pt idx="92">
                  <c:v>499.6954135095479</c:v>
                </c:pt>
                <c:pt idx="93">
                  <c:v>499.3147673772869</c:v>
                </c:pt>
                <c:pt idx="94">
                  <c:v>498.78202512991209</c:v>
                </c:pt>
                <c:pt idx="95">
                  <c:v>498.09734904587276</c:v>
                </c:pt>
                <c:pt idx="96">
                  <c:v>497.26094768413668</c:v>
                </c:pt>
                <c:pt idx="97">
                  <c:v>496.27307582066106</c:v>
                </c:pt>
                <c:pt idx="98">
                  <c:v>495.13403437078517</c:v>
                </c:pt>
                <c:pt idx="99">
                  <c:v>493.84417029756884</c:v>
                </c:pt>
                <c:pt idx="100">
                  <c:v>492.40387650610398</c:v>
                </c:pt>
                <c:pt idx="101">
                  <c:v>490.81359172383196</c:v>
                </c:pt>
                <c:pt idx="102">
                  <c:v>489.07380036690284</c:v>
                </c:pt>
                <c:pt idx="103">
                  <c:v>487.18503239261764</c:v>
                </c:pt>
                <c:pt idx="104">
                  <c:v>485.14786313799823</c:v>
                </c:pt>
                <c:pt idx="105">
                  <c:v>482.96291314453418</c:v>
                </c:pt>
                <c:pt idx="106">
                  <c:v>480.63084796915945</c:v>
                </c:pt>
                <c:pt idx="107">
                  <c:v>478.15237798151776</c:v>
                </c:pt>
                <c:pt idx="108">
                  <c:v>475.52825814757682</c:v>
                </c:pt>
                <c:pt idx="109">
                  <c:v>472.75928779965841</c:v>
                </c:pt>
                <c:pt idx="110">
                  <c:v>469.84631039295419</c:v>
                </c:pt>
                <c:pt idx="111">
                  <c:v>466.79021324860088</c:v>
                </c:pt>
                <c:pt idx="112">
                  <c:v>463.59192728339372</c:v>
                </c:pt>
                <c:pt idx="113">
                  <c:v>460.25242672622016</c:v>
                </c:pt>
                <c:pt idx="114">
                  <c:v>456.77272882130046</c:v>
                </c:pt>
                <c:pt idx="115">
                  <c:v>453.15389351832505</c:v>
                </c:pt>
                <c:pt idx="116">
                  <c:v>449.39702314958345</c:v>
                </c:pt>
                <c:pt idx="117">
                  <c:v>445.50326209418392</c:v>
                </c:pt>
                <c:pt idx="118">
                  <c:v>441.47379642946356</c:v>
                </c:pt>
                <c:pt idx="119">
                  <c:v>437.30985356969791</c:v>
                </c:pt>
                <c:pt idx="120">
                  <c:v>433.01270189221935</c:v>
                </c:pt>
                <c:pt idx="121">
                  <c:v>428.58365035105618</c:v>
                </c:pt>
                <c:pt idx="122">
                  <c:v>424.02404807821301</c:v>
                </c:pt>
                <c:pt idx="123">
                  <c:v>419.33528397271198</c:v>
                </c:pt>
                <c:pt idx="124">
                  <c:v>414.51878627752086</c:v>
                </c:pt>
                <c:pt idx="125">
                  <c:v>409.57602214449599</c:v>
                </c:pt>
                <c:pt idx="126">
                  <c:v>404.50849718747372</c:v>
                </c:pt>
                <c:pt idx="127">
                  <c:v>399.31775502364638</c:v>
                </c:pt>
                <c:pt idx="128">
                  <c:v>394.005376803361</c:v>
                </c:pt>
                <c:pt idx="129">
                  <c:v>388.5729807284855</c:v>
                </c:pt>
                <c:pt idx="130">
                  <c:v>383.02222155948903</c:v>
                </c:pt>
                <c:pt idx="131">
                  <c:v>377.35479011138591</c:v>
                </c:pt>
                <c:pt idx="132">
                  <c:v>371.5724127386971</c:v>
                </c:pt>
                <c:pt idx="133">
                  <c:v>365.67685080958529</c:v>
                </c:pt>
                <c:pt idx="134">
                  <c:v>359.66990016932573</c:v>
                </c:pt>
                <c:pt idx="135">
                  <c:v>353.55339059327378</c:v>
                </c:pt>
                <c:pt idx="136">
                  <c:v>347.32918522949859</c:v>
                </c:pt>
                <c:pt idx="137">
                  <c:v>340.9991800312493</c:v>
                </c:pt>
                <c:pt idx="138">
                  <c:v>334.56530317942918</c:v>
                </c:pt>
                <c:pt idx="139">
                  <c:v>328.02951449525364</c:v>
                </c:pt>
                <c:pt idx="140">
                  <c:v>321.39380484326972</c:v>
                </c:pt>
                <c:pt idx="141">
                  <c:v>314.66019552491889</c:v>
                </c:pt>
                <c:pt idx="142">
                  <c:v>307.83073766282922</c:v>
                </c:pt>
                <c:pt idx="143">
                  <c:v>300.90751157602409</c:v>
                </c:pt>
                <c:pt idx="144">
                  <c:v>293.89262614623664</c:v>
                </c:pt>
                <c:pt idx="145">
                  <c:v>286.78821817552318</c:v>
                </c:pt>
                <c:pt idx="146">
                  <c:v>279.59645173537348</c:v>
                </c:pt>
                <c:pt idx="147">
                  <c:v>272.31951750751347</c:v>
                </c:pt>
                <c:pt idx="148">
                  <c:v>264.95963211660245</c:v>
                </c:pt>
                <c:pt idx="149">
                  <c:v>257.51903745502722</c:v>
                </c:pt>
                <c:pt idx="150">
                  <c:v>249.99999999999997</c:v>
                </c:pt>
                <c:pt idx="151">
                  <c:v>242.40481012316857</c:v>
                </c:pt>
                <c:pt idx="152">
                  <c:v>234.73578139294554</c:v>
                </c:pt>
                <c:pt idx="153">
                  <c:v>226.99524986977343</c:v>
                </c:pt>
                <c:pt idx="154">
                  <c:v>219.18557339453864</c:v>
                </c:pt>
                <c:pt idx="155">
                  <c:v>211.30913087034975</c:v>
                </c:pt>
                <c:pt idx="156">
                  <c:v>203.36832153790021</c:v>
                </c:pt>
                <c:pt idx="157">
                  <c:v>195.36556424463708</c:v>
                </c:pt>
                <c:pt idx="158">
                  <c:v>187.30329670795612</c:v>
                </c:pt>
                <c:pt idx="159">
                  <c:v>179.18397477265012</c:v>
                </c:pt>
                <c:pt idx="160">
                  <c:v>171.01007166283443</c:v>
                </c:pt>
                <c:pt idx="161">
                  <c:v>162.78407722857852</c:v>
                </c:pt>
                <c:pt idx="162">
                  <c:v>154.50849718747375</c:v>
                </c:pt>
                <c:pt idx="163">
                  <c:v>146.18585236136852</c:v>
                </c:pt>
                <c:pt idx="164">
                  <c:v>137.81867790849984</c:v>
                </c:pt>
                <c:pt idx="165">
                  <c:v>129.40952255126052</c:v>
                </c:pt>
                <c:pt idx="166">
                  <c:v>120.96094779983386</c:v>
                </c:pt>
                <c:pt idx="167">
                  <c:v>112.47552717193238</c:v>
                </c:pt>
                <c:pt idx="168">
                  <c:v>103.95584540887965</c:v>
                </c:pt>
                <c:pt idx="169">
                  <c:v>95.404497688272485</c:v>
                </c:pt>
                <c:pt idx="170">
                  <c:v>86.82408883346514</c:v>
                </c:pt>
                <c:pt idx="171">
                  <c:v>78.217232520115488</c:v>
                </c:pt>
                <c:pt idx="172">
                  <c:v>69.586550480032869</c:v>
                </c:pt>
                <c:pt idx="173">
                  <c:v>60.934671702573773</c:v>
                </c:pt>
                <c:pt idx="174">
                  <c:v>52.264231633826867</c:v>
                </c:pt>
                <c:pt idx="175">
                  <c:v>43.577871373829318</c:v>
                </c:pt>
                <c:pt idx="176">
                  <c:v>34.878236872062764</c:v>
                </c:pt>
                <c:pt idx="177">
                  <c:v>26.167978121471904</c:v>
                </c:pt>
                <c:pt idx="178">
                  <c:v>17.449748351250349</c:v>
                </c:pt>
                <c:pt idx="179">
                  <c:v>8.7262032186417198</c:v>
                </c:pt>
                <c:pt idx="180">
                  <c:v>6.1257422745431001E-14</c:v>
                </c:pt>
                <c:pt idx="181">
                  <c:v>-8.7262032186415954</c:v>
                </c:pt>
                <c:pt idx="182">
                  <c:v>-17.449748351250449</c:v>
                </c:pt>
                <c:pt idx="183">
                  <c:v>-26.16797812147178</c:v>
                </c:pt>
                <c:pt idx="184">
                  <c:v>-34.878236872062416</c:v>
                </c:pt>
                <c:pt idx="185">
                  <c:v>-43.57787137382897</c:v>
                </c:pt>
                <c:pt idx="186">
                  <c:v>-52.264231633826526</c:v>
                </c:pt>
                <c:pt idx="187">
                  <c:v>-60.934671702573873</c:v>
                </c:pt>
                <c:pt idx="188">
                  <c:v>-69.586550480032756</c:v>
                </c:pt>
                <c:pt idx="189">
                  <c:v>-78.21723252011536</c:v>
                </c:pt>
                <c:pt idx="190">
                  <c:v>-86.82408883346524</c:v>
                </c:pt>
                <c:pt idx="191">
                  <c:v>-95.404497688272357</c:v>
                </c:pt>
                <c:pt idx="192">
                  <c:v>-103.95584540887953</c:v>
                </c:pt>
                <c:pt idx="193">
                  <c:v>-112.47552717193248</c:v>
                </c:pt>
                <c:pt idx="194">
                  <c:v>-120.96094779983376</c:v>
                </c:pt>
                <c:pt idx="195">
                  <c:v>-129.40952255126018</c:v>
                </c:pt>
                <c:pt idx="196">
                  <c:v>-137.8186779084995</c:v>
                </c:pt>
                <c:pt idx="197">
                  <c:v>-146.18585236136818</c:v>
                </c:pt>
                <c:pt idx="198">
                  <c:v>-154.50849718747386</c:v>
                </c:pt>
                <c:pt idx="199">
                  <c:v>-162.78407722857838</c:v>
                </c:pt>
                <c:pt idx="200">
                  <c:v>-171.01007166283432</c:v>
                </c:pt>
                <c:pt idx="201">
                  <c:v>-179.18397477265023</c:v>
                </c:pt>
                <c:pt idx="202">
                  <c:v>-187.30329670795601</c:v>
                </c:pt>
                <c:pt idx="203">
                  <c:v>-195.36556424463677</c:v>
                </c:pt>
                <c:pt idx="204">
                  <c:v>-203.3683215378999</c:v>
                </c:pt>
                <c:pt idx="205">
                  <c:v>-211.30913087034963</c:v>
                </c:pt>
                <c:pt idx="206">
                  <c:v>-219.18557339453852</c:v>
                </c:pt>
                <c:pt idx="207">
                  <c:v>-226.99524986977312</c:v>
                </c:pt>
                <c:pt idx="208">
                  <c:v>-234.73578139294543</c:v>
                </c:pt>
                <c:pt idx="209">
                  <c:v>-242.40481012316846</c:v>
                </c:pt>
                <c:pt idx="210">
                  <c:v>-250.00000000000006</c:v>
                </c:pt>
                <c:pt idx="211">
                  <c:v>-257.5190374550271</c:v>
                </c:pt>
                <c:pt idx="212">
                  <c:v>-264.95963211660239</c:v>
                </c:pt>
                <c:pt idx="213">
                  <c:v>-272.31951750751352</c:v>
                </c:pt>
                <c:pt idx="214">
                  <c:v>-279.59645173537336</c:v>
                </c:pt>
                <c:pt idx="215">
                  <c:v>-286.7882181755229</c:v>
                </c:pt>
                <c:pt idx="216">
                  <c:v>-293.89262614623652</c:v>
                </c:pt>
                <c:pt idx="217">
                  <c:v>-300.90751157602404</c:v>
                </c:pt>
                <c:pt idx="218">
                  <c:v>-307.83073766282894</c:v>
                </c:pt>
                <c:pt idx="219">
                  <c:v>-314.66019552491883</c:v>
                </c:pt>
                <c:pt idx="220">
                  <c:v>-321.39380484326961</c:v>
                </c:pt>
                <c:pt idx="221">
                  <c:v>-328.02951449525369</c:v>
                </c:pt>
                <c:pt idx="222">
                  <c:v>-334.56530317942912</c:v>
                </c:pt>
                <c:pt idx="223">
                  <c:v>-340.99918003124918</c:v>
                </c:pt>
                <c:pt idx="224">
                  <c:v>-347.32918522949871</c:v>
                </c:pt>
                <c:pt idx="225">
                  <c:v>-353.55339059327372</c:v>
                </c:pt>
                <c:pt idx="226">
                  <c:v>-359.66990016932544</c:v>
                </c:pt>
                <c:pt idx="227">
                  <c:v>-365.67685080958506</c:v>
                </c:pt>
                <c:pt idx="228">
                  <c:v>-371.57241273869704</c:v>
                </c:pt>
                <c:pt idx="229">
                  <c:v>-377.35479011138585</c:v>
                </c:pt>
                <c:pt idx="230">
                  <c:v>-383.02222155948897</c:v>
                </c:pt>
                <c:pt idx="231">
                  <c:v>-388.57298072848556</c:v>
                </c:pt>
                <c:pt idx="232">
                  <c:v>-394.00537680336106</c:v>
                </c:pt>
                <c:pt idx="233">
                  <c:v>-399.31775502364644</c:v>
                </c:pt>
                <c:pt idx="234">
                  <c:v>-404.50849718747367</c:v>
                </c:pt>
                <c:pt idx="235">
                  <c:v>-409.57602214449577</c:v>
                </c:pt>
                <c:pt idx="236">
                  <c:v>-414.51878627752069</c:v>
                </c:pt>
                <c:pt idx="237">
                  <c:v>-419.33528397271203</c:v>
                </c:pt>
                <c:pt idx="238">
                  <c:v>-424.02404807821296</c:v>
                </c:pt>
                <c:pt idx="239">
                  <c:v>-428.58365035105606</c:v>
                </c:pt>
                <c:pt idx="240">
                  <c:v>-433.01270189221918</c:v>
                </c:pt>
                <c:pt idx="241">
                  <c:v>-437.30985356969796</c:v>
                </c:pt>
                <c:pt idx="242">
                  <c:v>-441.4737964294635</c:v>
                </c:pt>
                <c:pt idx="243">
                  <c:v>-445.50326209418387</c:v>
                </c:pt>
                <c:pt idx="244">
                  <c:v>-449.39702314958339</c:v>
                </c:pt>
                <c:pt idx="245">
                  <c:v>-453.15389351832488</c:v>
                </c:pt>
                <c:pt idx="246">
                  <c:v>-456.77272882130046</c:v>
                </c:pt>
                <c:pt idx="247">
                  <c:v>-460.25242672622011</c:v>
                </c:pt>
                <c:pt idx="248">
                  <c:v>-463.59192728339366</c:v>
                </c:pt>
                <c:pt idx="249">
                  <c:v>-466.79021324860082</c:v>
                </c:pt>
                <c:pt idx="250">
                  <c:v>-469.84631039295408</c:v>
                </c:pt>
                <c:pt idx="251">
                  <c:v>-472.75928779965841</c:v>
                </c:pt>
                <c:pt idx="252">
                  <c:v>-475.52825814757676</c:v>
                </c:pt>
                <c:pt idx="253">
                  <c:v>-478.15237798151765</c:v>
                </c:pt>
                <c:pt idx="254">
                  <c:v>-480.6308479691595</c:v>
                </c:pt>
                <c:pt idx="255">
                  <c:v>-482.96291314453418</c:v>
                </c:pt>
                <c:pt idx="256">
                  <c:v>-485.14786313799823</c:v>
                </c:pt>
                <c:pt idx="257">
                  <c:v>-487.18503239261759</c:v>
                </c:pt>
                <c:pt idx="258">
                  <c:v>-489.07380036690279</c:v>
                </c:pt>
                <c:pt idx="259">
                  <c:v>-490.81359172383191</c:v>
                </c:pt>
                <c:pt idx="260">
                  <c:v>-492.40387650610398</c:v>
                </c:pt>
                <c:pt idx="261">
                  <c:v>-493.84417029756884</c:v>
                </c:pt>
                <c:pt idx="262">
                  <c:v>-495.13403437078517</c:v>
                </c:pt>
                <c:pt idx="263">
                  <c:v>-496.27307582066106</c:v>
                </c:pt>
                <c:pt idx="264">
                  <c:v>-497.26094768413668</c:v>
                </c:pt>
                <c:pt idx="265">
                  <c:v>-498.09734904587276</c:v>
                </c:pt>
                <c:pt idx="266">
                  <c:v>-498.78202512991209</c:v>
                </c:pt>
                <c:pt idx="267">
                  <c:v>-499.3147673772869</c:v>
                </c:pt>
                <c:pt idx="268">
                  <c:v>-499.69541350954785</c:v>
                </c:pt>
                <c:pt idx="269">
                  <c:v>-499.92384757819565</c:v>
                </c:pt>
                <c:pt idx="270">
                  <c:v>-500</c:v>
                </c:pt>
                <c:pt idx="271">
                  <c:v>-499.92384757819565</c:v>
                </c:pt>
                <c:pt idx="272">
                  <c:v>-499.6954135095479</c:v>
                </c:pt>
                <c:pt idx="273">
                  <c:v>-499.3147673772869</c:v>
                </c:pt>
                <c:pt idx="274">
                  <c:v>-498.78202512991214</c:v>
                </c:pt>
                <c:pt idx="275">
                  <c:v>-498.09734904587276</c:v>
                </c:pt>
                <c:pt idx="276">
                  <c:v>-497.26094768413668</c:v>
                </c:pt>
                <c:pt idx="277">
                  <c:v>-496.27307582066101</c:v>
                </c:pt>
                <c:pt idx="278">
                  <c:v>-495.13403437078517</c:v>
                </c:pt>
                <c:pt idx="279">
                  <c:v>-493.84417029756889</c:v>
                </c:pt>
                <c:pt idx="280">
                  <c:v>-492.40387650610404</c:v>
                </c:pt>
                <c:pt idx="281">
                  <c:v>-490.81359172383202</c:v>
                </c:pt>
                <c:pt idx="282">
                  <c:v>-489.0738003669029</c:v>
                </c:pt>
                <c:pt idx="283">
                  <c:v>-487.18503239261764</c:v>
                </c:pt>
                <c:pt idx="284">
                  <c:v>-485.14786313799829</c:v>
                </c:pt>
                <c:pt idx="285">
                  <c:v>-482.96291314453413</c:v>
                </c:pt>
                <c:pt idx="286">
                  <c:v>-480.63084796915939</c:v>
                </c:pt>
                <c:pt idx="287">
                  <c:v>-478.1523779815177</c:v>
                </c:pt>
                <c:pt idx="288">
                  <c:v>-475.52825814757682</c:v>
                </c:pt>
                <c:pt idx="289">
                  <c:v>-472.75928779965847</c:v>
                </c:pt>
                <c:pt idx="290">
                  <c:v>-469.84631039295425</c:v>
                </c:pt>
                <c:pt idx="291">
                  <c:v>-466.79021324860105</c:v>
                </c:pt>
                <c:pt idx="292">
                  <c:v>-463.59192728339372</c:v>
                </c:pt>
                <c:pt idx="293">
                  <c:v>-460.25242672622022</c:v>
                </c:pt>
                <c:pt idx="294">
                  <c:v>-456.7727288213004</c:v>
                </c:pt>
                <c:pt idx="295">
                  <c:v>-453.15389351832499</c:v>
                </c:pt>
                <c:pt idx="296">
                  <c:v>-449.3970231495835</c:v>
                </c:pt>
                <c:pt idx="297">
                  <c:v>-445.50326209418392</c:v>
                </c:pt>
                <c:pt idx="298">
                  <c:v>-441.47379642946356</c:v>
                </c:pt>
                <c:pt idx="299">
                  <c:v>-437.30985356969802</c:v>
                </c:pt>
                <c:pt idx="300">
                  <c:v>-433.0127018922193</c:v>
                </c:pt>
                <c:pt idx="301">
                  <c:v>-428.58365035105618</c:v>
                </c:pt>
                <c:pt idx="302">
                  <c:v>-424.02404807821307</c:v>
                </c:pt>
                <c:pt idx="303">
                  <c:v>-419.33528397271215</c:v>
                </c:pt>
                <c:pt idx="304">
                  <c:v>-414.51878627752103</c:v>
                </c:pt>
                <c:pt idx="305">
                  <c:v>-409.57602214449588</c:v>
                </c:pt>
                <c:pt idx="306">
                  <c:v>-404.50849718747378</c:v>
                </c:pt>
                <c:pt idx="307">
                  <c:v>-399.3177550236465</c:v>
                </c:pt>
                <c:pt idx="308">
                  <c:v>-394.00537680336089</c:v>
                </c:pt>
                <c:pt idx="309">
                  <c:v>-388.57298072848539</c:v>
                </c:pt>
                <c:pt idx="310">
                  <c:v>-383.02222155948908</c:v>
                </c:pt>
                <c:pt idx="311">
                  <c:v>-377.35479011138614</c:v>
                </c:pt>
                <c:pt idx="312">
                  <c:v>-371.57241273869727</c:v>
                </c:pt>
                <c:pt idx="313">
                  <c:v>-365.67685080958552</c:v>
                </c:pt>
                <c:pt idx="314">
                  <c:v>-359.6699001693259</c:v>
                </c:pt>
                <c:pt idx="315">
                  <c:v>-353.55339059327383</c:v>
                </c:pt>
                <c:pt idx="316">
                  <c:v>-347.32918522949882</c:v>
                </c:pt>
                <c:pt idx="317">
                  <c:v>-340.99918003124913</c:v>
                </c:pt>
                <c:pt idx="318">
                  <c:v>-334.56530317942907</c:v>
                </c:pt>
                <c:pt idx="319">
                  <c:v>-328.02951449525369</c:v>
                </c:pt>
                <c:pt idx="320">
                  <c:v>-321.39380484326978</c:v>
                </c:pt>
                <c:pt idx="321">
                  <c:v>-314.66019552491889</c:v>
                </c:pt>
                <c:pt idx="322">
                  <c:v>-307.83073766282945</c:v>
                </c:pt>
                <c:pt idx="323">
                  <c:v>-300.90751157602415</c:v>
                </c:pt>
                <c:pt idx="324">
                  <c:v>-293.89262614623669</c:v>
                </c:pt>
                <c:pt idx="325">
                  <c:v>-286.78821817552324</c:v>
                </c:pt>
                <c:pt idx="326">
                  <c:v>-279.59645173537365</c:v>
                </c:pt>
                <c:pt idx="327">
                  <c:v>-272.31951750751347</c:v>
                </c:pt>
                <c:pt idx="328">
                  <c:v>-264.9596321166029</c:v>
                </c:pt>
                <c:pt idx="329">
                  <c:v>-257.51903745502722</c:v>
                </c:pt>
                <c:pt idx="330">
                  <c:v>-250.00000000000023</c:v>
                </c:pt>
                <c:pt idx="331">
                  <c:v>-242.40481012316846</c:v>
                </c:pt>
                <c:pt idx="332">
                  <c:v>-234.7357813929454</c:v>
                </c:pt>
                <c:pt idx="333">
                  <c:v>-226.99524986977349</c:v>
                </c:pt>
                <c:pt idx="334">
                  <c:v>-219.18557339453849</c:v>
                </c:pt>
                <c:pt idx="335">
                  <c:v>-211.30913087035</c:v>
                </c:pt>
                <c:pt idx="336">
                  <c:v>-203.36832153790007</c:v>
                </c:pt>
                <c:pt idx="337">
                  <c:v>-195.36556424463737</c:v>
                </c:pt>
                <c:pt idx="338">
                  <c:v>-187.30329670795618</c:v>
                </c:pt>
                <c:pt idx="339">
                  <c:v>-179.18397477265037</c:v>
                </c:pt>
                <c:pt idx="340">
                  <c:v>-171.01007166283429</c:v>
                </c:pt>
                <c:pt idx="341">
                  <c:v>-162.78407722857875</c:v>
                </c:pt>
                <c:pt idx="342">
                  <c:v>-154.50849718747381</c:v>
                </c:pt>
                <c:pt idx="343">
                  <c:v>-146.18585236136815</c:v>
                </c:pt>
                <c:pt idx="344">
                  <c:v>-137.81867790849989</c:v>
                </c:pt>
                <c:pt idx="345">
                  <c:v>-129.40952255126035</c:v>
                </c:pt>
                <c:pt idx="346">
                  <c:v>-120.96094779983393</c:v>
                </c:pt>
                <c:pt idx="347">
                  <c:v>-112.47552717193267</c:v>
                </c:pt>
                <c:pt idx="348">
                  <c:v>-103.95584540887994</c:v>
                </c:pt>
                <c:pt idx="349">
                  <c:v>-95.404497688272329</c:v>
                </c:pt>
                <c:pt idx="350">
                  <c:v>-86.824088833465638</c:v>
                </c:pt>
                <c:pt idx="351">
                  <c:v>-78.217232520115559</c:v>
                </c:pt>
                <c:pt idx="352">
                  <c:v>-69.58655048003294</c:v>
                </c:pt>
                <c:pt idx="353">
                  <c:v>-60.934671702574057</c:v>
                </c:pt>
                <c:pt idx="354">
                  <c:v>-52.264231633826711</c:v>
                </c:pt>
                <c:pt idx="355">
                  <c:v>-43.577871373829161</c:v>
                </c:pt>
                <c:pt idx="356">
                  <c:v>-34.878236872062381</c:v>
                </c:pt>
                <c:pt idx="357">
                  <c:v>-26.167978121472185</c:v>
                </c:pt>
                <c:pt idx="358">
                  <c:v>-17.449748351250413</c:v>
                </c:pt>
                <c:pt idx="359">
                  <c:v>-8.7262032186422243</c:v>
                </c:pt>
                <c:pt idx="360">
                  <c:v>-1.22514845490862E-13</c:v>
                </c:pt>
              </c:numCache>
            </c:numRef>
          </c:xVal>
          <c:yVal>
            <c:numRef>
              <c:f>Aufsicht!$J$10:$J$370</c:f>
              <c:numCache>
                <c:formatCode>General</c:formatCode>
                <c:ptCount val="361"/>
                <c:pt idx="0">
                  <c:v>500</c:v>
                </c:pt>
                <c:pt idx="1">
                  <c:v>499.92384757819565</c:v>
                </c:pt>
                <c:pt idx="2">
                  <c:v>499.6954135095479</c:v>
                </c:pt>
                <c:pt idx="3">
                  <c:v>499.3147673772869</c:v>
                </c:pt>
                <c:pt idx="4">
                  <c:v>498.78202512991209</c:v>
                </c:pt>
                <c:pt idx="5">
                  <c:v>498.09734904587276</c:v>
                </c:pt>
                <c:pt idx="6">
                  <c:v>497.26094768413662</c:v>
                </c:pt>
                <c:pt idx="7">
                  <c:v>496.27307582066101</c:v>
                </c:pt>
                <c:pt idx="8">
                  <c:v>495.13403437078517</c:v>
                </c:pt>
                <c:pt idx="9">
                  <c:v>493.84417029756889</c:v>
                </c:pt>
                <c:pt idx="10">
                  <c:v>492.40387650610398</c:v>
                </c:pt>
                <c:pt idx="11">
                  <c:v>490.81359172383196</c:v>
                </c:pt>
                <c:pt idx="12">
                  <c:v>489.07380036690284</c:v>
                </c:pt>
                <c:pt idx="13">
                  <c:v>487.18503239261764</c:v>
                </c:pt>
                <c:pt idx="14">
                  <c:v>485.14786313799823</c:v>
                </c:pt>
                <c:pt idx="15">
                  <c:v>482.96291314453418</c:v>
                </c:pt>
                <c:pt idx="16">
                  <c:v>480.63084796915945</c:v>
                </c:pt>
                <c:pt idx="17">
                  <c:v>478.1523779815177</c:v>
                </c:pt>
                <c:pt idx="18">
                  <c:v>475.52825814757676</c:v>
                </c:pt>
                <c:pt idx="19">
                  <c:v>472.75928779965841</c:v>
                </c:pt>
                <c:pt idx="20">
                  <c:v>469.84631039295419</c:v>
                </c:pt>
                <c:pt idx="21">
                  <c:v>466.79021324860088</c:v>
                </c:pt>
                <c:pt idx="22">
                  <c:v>463.59192728339372</c:v>
                </c:pt>
                <c:pt idx="23">
                  <c:v>460.25242672622016</c:v>
                </c:pt>
                <c:pt idx="24">
                  <c:v>456.77272882130046</c:v>
                </c:pt>
                <c:pt idx="25">
                  <c:v>453.15389351832499</c:v>
                </c:pt>
                <c:pt idx="26">
                  <c:v>449.3970231495835</c:v>
                </c:pt>
                <c:pt idx="27">
                  <c:v>445.50326209418392</c:v>
                </c:pt>
                <c:pt idx="28">
                  <c:v>441.4737964294635</c:v>
                </c:pt>
                <c:pt idx="29">
                  <c:v>437.30985356969785</c:v>
                </c:pt>
                <c:pt idx="30">
                  <c:v>433.01270189221935</c:v>
                </c:pt>
                <c:pt idx="31">
                  <c:v>428.58365035105618</c:v>
                </c:pt>
                <c:pt idx="32">
                  <c:v>424.02404807821296</c:v>
                </c:pt>
                <c:pt idx="33">
                  <c:v>419.33528397271203</c:v>
                </c:pt>
                <c:pt idx="34">
                  <c:v>414.5187862775208</c:v>
                </c:pt>
                <c:pt idx="35">
                  <c:v>409.57602214449588</c:v>
                </c:pt>
                <c:pt idx="36">
                  <c:v>404.50849718747372</c:v>
                </c:pt>
                <c:pt idx="37">
                  <c:v>399.31775502364644</c:v>
                </c:pt>
                <c:pt idx="38">
                  <c:v>394.005376803361</c:v>
                </c:pt>
                <c:pt idx="39">
                  <c:v>388.57298072848545</c:v>
                </c:pt>
                <c:pt idx="40">
                  <c:v>383.02222155948903</c:v>
                </c:pt>
                <c:pt idx="41">
                  <c:v>377.35479011138608</c:v>
                </c:pt>
                <c:pt idx="42">
                  <c:v>371.5724127386971</c:v>
                </c:pt>
                <c:pt idx="43">
                  <c:v>365.67685080958529</c:v>
                </c:pt>
                <c:pt idx="44">
                  <c:v>359.66990016932562</c:v>
                </c:pt>
                <c:pt idx="45">
                  <c:v>353.55339059327378</c:v>
                </c:pt>
                <c:pt idx="46">
                  <c:v>347.32918522949871</c:v>
                </c:pt>
                <c:pt idx="47">
                  <c:v>340.99918003124924</c:v>
                </c:pt>
                <c:pt idx="48">
                  <c:v>334.56530317942912</c:v>
                </c:pt>
                <c:pt idx="49">
                  <c:v>328.02951449525364</c:v>
                </c:pt>
                <c:pt idx="50">
                  <c:v>321.39380484326966</c:v>
                </c:pt>
                <c:pt idx="51">
                  <c:v>314.66019552491878</c:v>
                </c:pt>
                <c:pt idx="52">
                  <c:v>307.83073766282916</c:v>
                </c:pt>
                <c:pt idx="53">
                  <c:v>300.90751157602421</c:v>
                </c:pt>
                <c:pt idx="54">
                  <c:v>293.89262614623658</c:v>
                </c:pt>
                <c:pt idx="55">
                  <c:v>286.78821817552307</c:v>
                </c:pt>
                <c:pt idx="56">
                  <c:v>279.59645173537342</c:v>
                </c:pt>
                <c:pt idx="57">
                  <c:v>272.31951750751358</c:v>
                </c:pt>
                <c:pt idx="58">
                  <c:v>264.95963211660245</c:v>
                </c:pt>
                <c:pt idx="59">
                  <c:v>257.51903745502722</c:v>
                </c:pt>
                <c:pt idx="60">
                  <c:v>250.00000000000006</c:v>
                </c:pt>
                <c:pt idx="61">
                  <c:v>242.40481012316855</c:v>
                </c:pt>
                <c:pt idx="62">
                  <c:v>234.73578139294543</c:v>
                </c:pt>
                <c:pt idx="63">
                  <c:v>226.9952498697734</c:v>
                </c:pt>
                <c:pt idx="64">
                  <c:v>219.18557339453872</c:v>
                </c:pt>
                <c:pt idx="65">
                  <c:v>211.30913087034972</c:v>
                </c:pt>
                <c:pt idx="66">
                  <c:v>203.3683215379001</c:v>
                </c:pt>
                <c:pt idx="67">
                  <c:v>195.36556424463697</c:v>
                </c:pt>
                <c:pt idx="68">
                  <c:v>187.30329670795598</c:v>
                </c:pt>
                <c:pt idx="69">
                  <c:v>179.1839747726502</c:v>
                </c:pt>
                <c:pt idx="70">
                  <c:v>171.01007166283441</c:v>
                </c:pt>
                <c:pt idx="71">
                  <c:v>162.78407722857838</c:v>
                </c:pt>
                <c:pt idx="72">
                  <c:v>154.50849718747372</c:v>
                </c:pt>
                <c:pt idx="73">
                  <c:v>146.18585236136838</c:v>
                </c:pt>
                <c:pt idx="74">
                  <c:v>137.81867790849958</c:v>
                </c:pt>
                <c:pt idx="75">
                  <c:v>129.40952255126038</c:v>
                </c:pt>
                <c:pt idx="76">
                  <c:v>120.96094779983395</c:v>
                </c:pt>
                <c:pt idx="77">
                  <c:v>112.47552717193246</c:v>
                </c:pt>
                <c:pt idx="78">
                  <c:v>103.95584540887972</c:v>
                </c:pt>
                <c:pt idx="79">
                  <c:v>95.404497688272457</c:v>
                </c:pt>
                <c:pt idx="80">
                  <c:v>86.824088833465211</c:v>
                </c:pt>
                <c:pt idx="81">
                  <c:v>78.217232520115459</c:v>
                </c:pt>
                <c:pt idx="82">
                  <c:v>69.586550480032841</c:v>
                </c:pt>
                <c:pt idx="83">
                  <c:v>60.934671702573745</c:v>
                </c:pt>
                <c:pt idx="84">
                  <c:v>52.264231633826725</c:v>
                </c:pt>
                <c:pt idx="85">
                  <c:v>43.577871373829069</c:v>
                </c:pt>
                <c:pt idx="86">
                  <c:v>34.878236872062729</c:v>
                </c:pt>
                <c:pt idx="87">
                  <c:v>26.167978121471982</c:v>
                </c:pt>
                <c:pt idx="88">
                  <c:v>17.449748351250541</c:v>
                </c:pt>
                <c:pt idx="89">
                  <c:v>8.7262032186416878</c:v>
                </c:pt>
                <c:pt idx="90">
                  <c:v>3.06287113727155E-14</c:v>
                </c:pt>
                <c:pt idx="91">
                  <c:v>-8.7262032186417393</c:v>
                </c:pt>
                <c:pt idx="92">
                  <c:v>-17.449748351250367</c:v>
                </c:pt>
                <c:pt idx="93">
                  <c:v>-26.167978121471808</c:v>
                </c:pt>
                <c:pt idx="94">
                  <c:v>-34.878236872062665</c:v>
                </c:pt>
                <c:pt idx="95">
                  <c:v>-43.577871373829119</c:v>
                </c:pt>
                <c:pt idx="96">
                  <c:v>-52.264231633826668</c:v>
                </c:pt>
                <c:pt idx="97">
                  <c:v>-60.934671702573681</c:v>
                </c:pt>
                <c:pt idx="98">
                  <c:v>-69.58655048003267</c:v>
                </c:pt>
                <c:pt idx="99">
                  <c:v>-78.217232520115516</c:v>
                </c:pt>
                <c:pt idx="100">
                  <c:v>-86.824088833465154</c:v>
                </c:pt>
                <c:pt idx="101">
                  <c:v>-95.4044976882724</c:v>
                </c:pt>
                <c:pt idx="102">
                  <c:v>-103.95584540887955</c:v>
                </c:pt>
                <c:pt idx="103">
                  <c:v>-112.4755271719324</c:v>
                </c:pt>
                <c:pt idx="104">
                  <c:v>-120.96094779983389</c:v>
                </c:pt>
                <c:pt idx="105">
                  <c:v>-129.40952255126044</c:v>
                </c:pt>
                <c:pt idx="106">
                  <c:v>-137.81867790849952</c:v>
                </c:pt>
                <c:pt idx="107">
                  <c:v>-146.18585236136832</c:v>
                </c:pt>
                <c:pt idx="108">
                  <c:v>-154.50849718747367</c:v>
                </c:pt>
                <c:pt idx="109">
                  <c:v>-162.78407722857821</c:v>
                </c:pt>
                <c:pt idx="110">
                  <c:v>-171.01007166283435</c:v>
                </c:pt>
                <c:pt idx="111">
                  <c:v>-179.18397477265015</c:v>
                </c:pt>
                <c:pt idx="112">
                  <c:v>-187.30329670795604</c:v>
                </c:pt>
                <c:pt idx="113">
                  <c:v>-195.3655642446368</c:v>
                </c:pt>
                <c:pt idx="114">
                  <c:v>-203.36832153790002</c:v>
                </c:pt>
                <c:pt idx="115">
                  <c:v>-211.30913087034966</c:v>
                </c:pt>
                <c:pt idx="116">
                  <c:v>-219.18557339453875</c:v>
                </c:pt>
                <c:pt idx="117">
                  <c:v>-226.99524986977335</c:v>
                </c:pt>
                <c:pt idx="118">
                  <c:v>-234.73578139294526</c:v>
                </c:pt>
                <c:pt idx="119">
                  <c:v>-242.40481012316849</c:v>
                </c:pt>
                <c:pt idx="120">
                  <c:v>-249.99999999999989</c:v>
                </c:pt>
                <c:pt idx="121">
                  <c:v>-257.51903745502716</c:v>
                </c:pt>
                <c:pt idx="122">
                  <c:v>-264.95963211660239</c:v>
                </c:pt>
                <c:pt idx="123">
                  <c:v>-272.31951750751352</c:v>
                </c:pt>
                <c:pt idx="124">
                  <c:v>-279.59645173537336</c:v>
                </c:pt>
                <c:pt idx="125">
                  <c:v>-286.7882181755229</c:v>
                </c:pt>
                <c:pt idx="126">
                  <c:v>-293.89262614623652</c:v>
                </c:pt>
                <c:pt idx="127">
                  <c:v>-300.90751157602421</c:v>
                </c:pt>
                <c:pt idx="128">
                  <c:v>-307.83073766282916</c:v>
                </c:pt>
                <c:pt idx="129">
                  <c:v>-314.66019552491866</c:v>
                </c:pt>
                <c:pt idx="130">
                  <c:v>-321.39380484326966</c:v>
                </c:pt>
                <c:pt idx="131">
                  <c:v>-328.02951449525375</c:v>
                </c:pt>
                <c:pt idx="132">
                  <c:v>-334.56530317942912</c:v>
                </c:pt>
                <c:pt idx="133">
                  <c:v>-340.99918003124918</c:v>
                </c:pt>
                <c:pt idx="134">
                  <c:v>-347.32918522949853</c:v>
                </c:pt>
                <c:pt idx="135">
                  <c:v>-353.55339059327372</c:v>
                </c:pt>
                <c:pt idx="136">
                  <c:v>-359.66990016932562</c:v>
                </c:pt>
                <c:pt idx="137">
                  <c:v>-365.67685080958523</c:v>
                </c:pt>
                <c:pt idx="138">
                  <c:v>-371.57241273869704</c:v>
                </c:pt>
                <c:pt idx="139">
                  <c:v>-377.35479011138602</c:v>
                </c:pt>
                <c:pt idx="140">
                  <c:v>-383.02222155948897</c:v>
                </c:pt>
                <c:pt idx="141">
                  <c:v>-388.57298072848533</c:v>
                </c:pt>
                <c:pt idx="142">
                  <c:v>-394.00537680336095</c:v>
                </c:pt>
                <c:pt idx="143">
                  <c:v>-399.3177550236465</c:v>
                </c:pt>
                <c:pt idx="144">
                  <c:v>-404.50849718747367</c:v>
                </c:pt>
                <c:pt idx="145">
                  <c:v>-409.57602214449577</c:v>
                </c:pt>
                <c:pt idx="146">
                  <c:v>-414.5187862775208</c:v>
                </c:pt>
                <c:pt idx="147">
                  <c:v>-419.33528397271209</c:v>
                </c:pt>
                <c:pt idx="148">
                  <c:v>-424.02404807821296</c:v>
                </c:pt>
                <c:pt idx="149">
                  <c:v>-428.58365035105612</c:v>
                </c:pt>
                <c:pt idx="150">
                  <c:v>-433.01270189221935</c:v>
                </c:pt>
                <c:pt idx="151">
                  <c:v>-437.30985356969785</c:v>
                </c:pt>
                <c:pt idx="152">
                  <c:v>-441.47379642946339</c:v>
                </c:pt>
                <c:pt idx="153">
                  <c:v>-445.50326209418387</c:v>
                </c:pt>
                <c:pt idx="154">
                  <c:v>-449.3970231495835</c:v>
                </c:pt>
                <c:pt idx="155">
                  <c:v>-453.15389351832499</c:v>
                </c:pt>
                <c:pt idx="156">
                  <c:v>-456.7727288213004</c:v>
                </c:pt>
                <c:pt idx="157">
                  <c:v>-460.25242672622005</c:v>
                </c:pt>
                <c:pt idx="158">
                  <c:v>-463.59192728339366</c:v>
                </c:pt>
                <c:pt idx="159">
                  <c:v>-466.79021324860088</c:v>
                </c:pt>
                <c:pt idx="160">
                  <c:v>-469.84631039295414</c:v>
                </c:pt>
                <c:pt idx="161">
                  <c:v>-472.75928779965835</c:v>
                </c:pt>
                <c:pt idx="162">
                  <c:v>-475.52825814757676</c:v>
                </c:pt>
                <c:pt idx="163">
                  <c:v>-478.1523779815177</c:v>
                </c:pt>
                <c:pt idx="164">
                  <c:v>-480.63084796915933</c:v>
                </c:pt>
                <c:pt idx="165">
                  <c:v>-482.96291314453413</c:v>
                </c:pt>
                <c:pt idx="166">
                  <c:v>-485.14786313799823</c:v>
                </c:pt>
                <c:pt idx="167">
                  <c:v>-487.18503239261764</c:v>
                </c:pt>
                <c:pt idx="168">
                  <c:v>-489.07380036690284</c:v>
                </c:pt>
                <c:pt idx="169">
                  <c:v>-490.81359172383196</c:v>
                </c:pt>
                <c:pt idx="170">
                  <c:v>-492.40387650610398</c:v>
                </c:pt>
                <c:pt idx="171">
                  <c:v>-493.84417029756884</c:v>
                </c:pt>
                <c:pt idx="172">
                  <c:v>-495.13403437078512</c:v>
                </c:pt>
                <c:pt idx="173">
                  <c:v>-496.27307582066101</c:v>
                </c:pt>
                <c:pt idx="174">
                  <c:v>-497.26094768413662</c:v>
                </c:pt>
                <c:pt idx="175">
                  <c:v>-498.09734904587276</c:v>
                </c:pt>
                <c:pt idx="176">
                  <c:v>-498.78202512991209</c:v>
                </c:pt>
                <c:pt idx="177">
                  <c:v>-499.3147673772869</c:v>
                </c:pt>
                <c:pt idx="178">
                  <c:v>-499.6954135095479</c:v>
                </c:pt>
                <c:pt idx="179">
                  <c:v>-499.92384757819565</c:v>
                </c:pt>
                <c:pt idx="180">
                  <c:v>-500</c:v>
                </c:pt>
                <c:pt idx="181">
                  <c:v>-499.92384757819565</c:v>
                </c:pt>
                <c:pt idx="182">
                  <c:v>-499.6954135095479</c:v>
                </c:pt>
                <c:pt idx="183">
                  <c:v>-499.3147673772869</c:v>
                </c:pt>
                <c:pt idx="184">
                  <c:v>-498.78202512991214</c:v>
                </c:pt>
                <c:pt idx="185">
                  <c:v>-498.09734904587276</c:v>
                </c:pt>
                <c:pt idx="186">
                  <c:v>-497.26094768413668</c:v>
                </c:pt>
                <c:pt idx="187">
                  <c:v>-496.27307582066101</c:v>
                </c:pt>
                <c:pt idx="188">
                  <c:v>-495.13403437078512</c:v>
                </c:pt>
                <c:pt idx="189">
                  <c:v>-493.84417029756889</c:v>
                </c:pt>
                <c:pt idx="190">
                  <c:v>-492.40387650610398</c:v>
                </c:pt>
                <c:pt idx="191">
                  <c:v>-490.81359172383196</c:v>
                </c:pt>
                <c:pt idx="192">
                  <c:v>-489.07380036690284</c:v>
                </c:pt>
                <c:pt idx="193">
                  <c:v>-487.18503239261764</c:v>
                </c:pt>
                <c:pt idx="194">
                  <c:v>-485.14786313799823</c:v>
                </c:pt>
                <c:pt idx="195">
                  <c:v>-482.96291314453418</c:v>
                </c:pt>
                <c:pt idx="196">
                  <c:v>-480.63084796915945</c:v>
                </c:pt>
                <c:pt idx="197">
                  <c:v>-478.15237798151776</c:v>
                </c:pt>
                <c:pt idx="198">
                  <c:v>-475.52825814757676</c:v>
                </c:pt>
                <c:pt idx="199">
                  <c:v>-472.75928779965835</c:v>
                </c:pt>
                <c:pt idx="200">
                  <c:v>-469.84631039295419</c:v>
                </c:pt>
                <c:pt idx="201">
                  <c:v>-466.79021324860088</c:v>
                </c:pt>
                <c:pt idx="202">
                  <c:v>-463.59192728339372</c:v>
                </c:pt>
                <c:pt idx="203">
                  <c:v>-460.25242672622016</c:v>
                </c:pt>
                <c:pt idx="204">
                  <c:v>-456.77272882130052</c:v>
                </c:pt>
                <c:pt idx="205">
                  <c:v>-453.15389351832505</c:v>
                </c:pt>
                <c:pt idx="206">
                  <c:v>-449.39702314958356</c:v>
                </c:pt>
                <c:pt idx="207">
                  <c:v>-445.50326209418404</c:v>
                </c:pt>
                <c:pt idx="208">
                  <c:v>-441.47379642946345</c:v>
                </c:pt>
                <c:pt idx="209">
                  <c:v>-437.30985356969791</c:v>
                </c:pt>
                <c:pt idx="210">
                  <c:v>-433.0127018922193</c:v>
                </c:pt>
                <c:pt idx="211">
                  <c:v>-428.58365035105618</c:v>
                </c:pt>
                <c:pt idx="212">
                  <c:v>-424.02404807821301</c:v>
                </c:pt>
                <c:pt idx="213">
                  <c:v>-419.33528397271203</c:v>
                </c:pt>
                <c:pt idx="214">
                  <c:v>-414.51878627752092</c:v>
                </c:pt>
                <c:pt idx="215">
                  <c:v>-409.57602214449599</c:v>
                </c:pt>
                <c:pt idx="216">
                  <c:v>-404.50849718747378</c:v>
                </c:pt>
                <c:pt idx="217">
                  <c:v>-399.3177550236465</c:v>
                </c:pt>
                <c:pt idx="218">
                  <c:v>-394.00537680336112</c:v>
                </c:pt>
                <c:pt idx="219">
                  <c:v>-388.57298072848539</c:v>
                </c:pt>
                <c:pt idx="220">
                  <c:v>-383.02222155948903</c:v>
                </c:pt>
                <c:pt idx="221">
                  <c:v>-377.35479011138597</c:v>
                </c:pt>
                <c:pt idx="222">
                  <c:v>-371.5724127386971</c:v>
                </c:pt>
                <c:pt idx="223">
                  <c:v>-365.67685080958529</c:v>
                </c:pt>
                <c:pt idx="224">
                  <c:v>-359.66990016932556</c:v>
                </c:pt>
                <c:pt idx="225">
                  <c:v>-353.55339059327383</c:v>
                </c:pt>
                <c:pt idx="226">
                  <c:v>-347.32918522949882</c:v>
                </c:pt>
                <c:pt idx="227">
                  <c:v>-340.99918003124947</c:v>
                </c:pt>
                <c:pt idx="228">
                  <c:v>-334.56530317942924</c:v>
                </c:pt>
                <c:pt idx="229">
                  <c:v>-328.02951449525381</c:v>
                </c:pt>
                <c:pt idx="230">
                  <c:v>-321.39380484326972</c:v>
                </c:pt>
                <c:pt idx="231">
                  <c:v>-314.66019552491861</c:v>
                </c:pt>
                <c:pt idx="232">
                  <c:v>-307.83073766282905</c:v>
                </c:pt>
                <c:pt idx="233">
                  <c:v>-300.90751157602415</c:v>
                </c:pt>
                <c:pt idx="234">
                  <c:v>-293.89262614623664</c:v>
                </c:pt>
                <c:pt idx="235">
                  <c:v>-286.78821817552318</c:v>
                </c:pt>
                <c:pt idx="236">
                  <c:v>-279.59645173537359</c:v>
                </c:pt>
                <c:pt idx="237">
                  <c:v>-272.31951750751347</c:v>
                </c:pt>
                <c:pt idx="238">
                  <c:v>-264.95963211660251</c:v>
                </c:pt>
                <c:pt idx="239">
                  <c:v>-257.51903745502722</c:v>
                </c:pt>
                <c:pt idx="240">
                  <c:v>-250.00000000000023</c:v>
                </c:pt>
                <c:pt idx="241">
                  <c:v>-242.40481012316843</c:v>
                </c:pt>
                <c:pt idx="242">
                  <c:v>-234.73578139294537</c:v>
                </c:pt>
                <c:pt idx="243">
                  <c:v>-226.99524986977346</c:v>
                </c:pt>
                <c:pt idx="244">
                  <c:v>-219.18557339453886</c:v>
                </c:pt>
                <c:pt idx="245">
                  <c:v>-211.30913087034997</c:v>
                </c:pt>
                <c:pt idx="246">
                  <c:v>-203.36832153790004</c:v>
                </c:pt>
                <c:pt idx="247">
                  <c:v>-195.36556424463691</c:v>
                </c:pt>
                <c:pt idx="248">
                  <c:v>-187.30329670795615</c:v>
                </c:pt>
                <c:pt idx="249">
                  <c:v>-179.18397477265034</c:v>
                </c:pt>
                <c:pt idx="250">
                  <c:v>-171.01007166283469</c:v>
                </c:pt>
                <c:pt idx="251">
                  <c:v>-162.78407722857833</c:v>
                </c:pt>
                <c:pt idx="252">
                  <c:v>-154.50849718747378</c:v>
                </c:pt>
                <c:pt idx="253">
                  <c:v>-146.18585236136855</c:v>
                </c:pt>
                <c:pt idx="254">
                  <c:v>-137.81867790849944</c:v>
                </c:pt>
                <c:pt idx="255">
                  <c:v>-129.40952255126032</c:v>
                </c:pt>
                <c:pt idx="256">
                  <c:v>-120.96094779983389</c:v>
                </c:pt>
                <c:pt idx="257">
                  <c:v>-112.47552717193263</c:v>
                </c:pt>
                <c:pt idx="258">
                  <c:v>-103.9558454088799</c:v>
                </c:pt>
                <c:pt idx="259">
                  <c:v>-95.404497688272741</c:v>
                </c:pt>
                <c:pt idx="260">
                  <c:v>-86.824088833465169</c:v>
                </c:pt>
                <c:pt idx="261">
                  <c:v>-78.217232520115516</c:v>
                </c:pt>
                <c:pt idx="262">
                  <c:v>-69.586550480032471</c:v>
                </c:pt>
                <c:pt idx="263">
                  <c:v>-60.934671702573588</c:v>
                </c:pt>
                <c:pt idx="264">
                  <c:v>-52.264231633826682</c:v>
                </c:pt>
                <c:pt idx="265">
                  <c:v>-43.577871373829126</c:v>
                </c:pt>
                <c:pt idx="266">
                  <c:v>-34.878236872062793</c:v>
                </c:pt>
                <c:pt idx="267">
                  <c:v>-26.167978121472153</c:v>
                </c:pt>
                <c:pt idx="268">
                  <c:v>-17.449748351250825</c:v>
                </c:pt>
                <c:pt idx="269">
                  <c:v>-8.7262032186417482</c:v>
                </c:pt>
                <c:pt idx="270">
                  <c:v>-9.1886134118146501E-14</c:v>
                </c:pt>
                <c:pt idx="271">
                  <c:v>8.7262032186415652</c:v>
                </c:pt>
                <c:pt idx="272">
                  <c:v>17.449748351250641</c:v>
                </c:pt>
                <c:pt idx="273">
                  <c:v>26.167978121471972</c:v>
                </c:pt>
                <c:pt idx="274">
                  <c:v>34.878236872062608</c:v>
                </c:pt>
                <c:pt idx="275">
                  <c:v>43.577871373828941</c:v>
                </c:pt>
                <c:pt idx="276">
                  <c:v>52.264231633826491</c:v>
                </c:pt>
                <c:pt idx="277">
                  <c:v>60.934671702573844</c:v>
                </c:pt>
                <c:pt idx="278">
                  <c:v>69.586550480032727</c:v>
                </c:pt>
                <c:pt idx="279">
                  <c:v>78.217232520115331</c:v>
                </c:pt>
                <c:pt idx="280">
                  <c:v>86.824088833464984</c:v>
                </c:pt>
                <c:pt idx="281">
                  <c:v>95.40449768827213</c:v>
                </c:pt>
                <c:pt idx="282">
                  <c:v>103.95584540887928</c:v>
                </c:pt>
                <c:pt idx="283">
                  <c:v>112.47552717193246</c:v>
                </c:pt>
                <c:pt idx="284">
                  <c:v>120.96094779983373</c:v>
                </c:pt>
                <c:pt idx="285">
                  <c:v>129.40952255126055</c:v>
                </c:pt>
                <c:pt idx="286">
                  <c:v>137.81867790849969</c:v>
                </c:pt>
                <c:pt idx="287">
                  <c:v>146.18585236136835</c:v>
                </c:pt>
                <c:pt idx="288">
                  <c:v>154.50849718747361</c:v>
                </c:pt>
                <c:pt idx="289">
                  <c:v>162.78407722857816</c:v>
                </c:pt>
                <c:pt idx="290">
                  <c:v>171.01007166283406</c:v>
                </c:pt>
                <c:pt idx="291">
                  <c:v>179.18397477264978</c:v>
                </c:pt>
                <c:pt idx="292">
                  <c:v>187.30329670795598</c:v>
                </c:pt>
                <c:pt idx="293">
                  <c:v>195.36556424463674</c:v>
                </c:pt>
                <c:pt idx="294">
                  <c:v>203.36832153790027</c:v>
                </c:pt>
                <c:pt idx="295">
                  <c:v>211.3091308703498</c:v>
                </c:pt>
                <c:pt idx="296">
                  <c:v>219.18557339453869</c:v>
                </c:pt>
                <c:pt idx="297">
                  <c:v>226.99524986977332</c:v>
                </c:pt>
                <c:pt idx="298">
                  <c:v>234.7357813929452</c:v>
                </c:pt>
                <c:pt idx="299">
                  <c:v>242.40481012316826</c:v>
                </c:pt>
                <c:pt idx="300">
                  <c:v>250.00000000000006</c:v>
                </c:pt>
                <c:pt idx="301">
                  <c:v>257.5190374550271</c:v>
                </c:pt>
                <c:pt idx="302">
                  <c:v>264.95963211660234</c:v>
                </c:pt>
                <c:pt idx="303">
                  <c:v>272.3195175075133</c:v>
                </c:pt>
                <c:pt idx="304">
                  <c:v>279.59645173537314</c:v>
                </c:pt>
                <c:pt idx="305">
                  <c:v>286.78821817552301</c:v>
                </c:pt>
                <c:pt idx="306">
                  <c:v>293.89262614623647</c:v>
                </c:pt>
                <c:pt idx="307">
                  <c:v>300.90751157602398</c:v>
                </c:pt>
                <c:pt idx="308">
                  <c:v>307.83073766282928</c:v>
                </c:pt>
                <c:pt idx="309">
                  <c:v>314.66019552491878</c:v>
                </c:pt>
                <c:pt idx="310">
                  <c:v>321.39380484326961</c:v>
                </c:pt>
                <c:pt idx="311">
                  <c:v>328.02951449525352</c:v>
                </c:pt>
                <c:pt idx="312">
                  <c:v>334.56530317942889</c:v>
                </c:pt>
                <c:pt idx="313">
                  <c:v>340.99918003124901</c:v>
                </c:pt>
                <c:pt idx="314">
                  <c:v>347.32918522949831</c:v>
                </c:pt>
                <c:pt idx="315">
                  <c:v>353.55339059327366</c:v>
                </c:pt>
                <c:pt idx="316">
                  <c:v>359.66990016932544</c:v>
                </c:pt>
                <c:pt idx="317">
                  <c:v>365.67685080958535</c:v>
                </c:pt>
                <c:pt idx="318">
                  <c:v>371.5724127386971</c:v>
                </c:pt>
                <c:pt idx="319">
                  <c:v>377.35479011138597</c:v>
                </c:pt>
                <c:pt idx="320">
                  <c:v>383.02222155948891</c:v>
                </c:pt>
                <c:pt idx="321">
                  <c:v>388.57298072848528</c:v>
                </c:pt>
                <c:pt idx="322">
                  <c:v>394.00537680336078</c:v>
                </c:pt>
                <c:pt idx="323">
                  <c:v>399.31775502364644</c:v>
                </c:pt>
                <c:pt idx="324">
                  <c:v>404.50849718747367</c:v>
                </c:pt>
                <c:pt idx="325">
                  <c:v>409.57602214449577</c:v>
                </c:pt>
                <c:pt idx="326">
                  <c:v>414.51878627752069</c:v>
                </c:pt>
                <c:pt idx="327">
                  <c:v>419.33528397271203</c:v>
                </c:pt>
                <c:pt idx="328">
                  <c:v>424.02404807821267</c:v>
                </c:pt>
                <c:pt idx="329">
                  <c:v>428.58365035105606</c:v>
                </c:pt>
                <c:pt idx="330">
                  <c:v>433.01270189221918</c:v>
                </c:pt>
                <c:pt idx="331">
                  <c:v>437.30985356969791</c:v>
                </c:pt>
                <c:pt idx="332">
                  <c:v>441.47379642946345</c:v>
                </c:pt>
                <c:pt idx="333">
                  <c:v>445.50326209418387</c:v>
                </c:pt>
                <c:pt idx="334">
                  <c:v>449.39702314958356</c:v>
                </c:pt>
                <c:pt idx="335">
                  <c:v>453.15389351832488</c:v>
                </c:pt>
                <c:pt idx="336">
                  <c:v>456.77272882130046</c:v>
                </c:pt>
                <c:pt idx="337">
                  <c:v>460.25242672621994</c:v>
                </c:pt>
                <c:pt idx="338">
                  <c:v>463.59192728339366</c:v>
                </c:pt>
                <c:pt idx="339">
                  <c:v>466.79021324860076</c:v>
                </c:pt>
                <c:pt idx="340">
                  <c:v>469.84631039295419</c:v>
                </c:pt>
                <c:pt idx="341">
                  <c:v>472.75928779965824</c:v>
                </c:pt>
                <c:pt idx="342">
                  <c:v>475.52825814757676</c:v>
                </c:pt>
                <c:pt idx="343">
                  <c:v>478.15237798151782</c:v>
                </c:pt>
                <c:pt idx="344">
                  <c:v>480.63084796915933</c:v>
                </c:pt>
                <c:pt idx="345">
                  <c:v>482.96291314453418</c:v>
                </c:pt>
                <c:pt idx="346">
                  <c:v>485.14786313799823</c:v>
                </c:pt>
                <c:pt idx="347">
                  <c:v>487.18503239261759</c:v>
                </c:pt>
                <c:pt idx="348">
                  <c:v>489.07380036690279</c:v>
                </c:pt>
                <c:pt idx="349">
                  <c:v>490.81359172383196</c:v>
                </c:pt>
                <c:pt idx="350">
                  <c:v>492.40387650610393</c:v>
                </c:pt>
                <c:pt idx="351">
                  <c:v>493.84417029756884</c:v>
                </c:pt>
                <c:pt idx="352">
                  <c:v>495.13403437078512</c:v>
                </c:pt>
                <c:pt idx="353">
                  <c:v>496.27307582066101</c:v>
                </c:pt>
                <c:pt idx="354">
                  <c:v>497.26094768413662</c:v>
                </c:pt>
                <c:pt idx="355">
                  <c:v>498.09734904587276</c:v>
                </c:pt>
                <c:pt idx="356">
                  <c:v>498.78202512991214</c:v>
                </c:pt>
                <c:pt idx="357">
                  <c:v>499.3147673772869</c:v>
                </c:pt>
                <c:pt idx="358">
                  <c:v>499.6954135095479</c:v>
                </c:pt>
                <c:pt idx="359">
                  <c:v>499.92384757819565</c:v>
                </c:pt>
                <c:pt idx="360">
                  <c:v>500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8D8-4176-9017-F4D9D0DE5634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Aufsicht!$S$10:$S$370</c:f>
              <c:numCache>
                <c:formatCode>General</c:formatCode>
                <c:ptCount val="361"/>
                <c:pt idx="0">
                  <c:v>-148</c:v>
                </c:pt>
                <c:pt idx="1">
                  <c:v>-142.76427806881495</c:v>
                </c:pt>
                <c:pt idx="2">
                  <c:v>-137.53015098924971</c:v>
                </c:pt>
                <c:pt idx="3">
                  <c:v>-132.29921312711684</c:v>
                </c:pt>
                <c:pt idx="4">
                  <c:v>-127.07305787676241</c:v>
                </c:pt>
                <c:pt idx="5">
                  <c:v>-121.85327717570254</c:v>
                </c:pt>
                <c:pt idx="6">
                  <c:v>-116.64146101970397</c:v>
                </c:pt>
                <c:pt idx="7">
                  <c:v>-111.43919697845575</c:v>
                </c:pt>
                <c:pt idx="8">
                  <c:v>-106.24806971198038</c:v>
                </c:pt>
                <c:pt idx="9">
                  <c:v>-101.06966048793075</c:v>
                </c:pt>
                <c:pt idx="10">
                  <c:v>-95.905546699920905</c:v>
                </c:pt>
                <c:pt idx="11">
                  <c:v>-90.757301387036563</c:v>
                </c:pt>
                <c:pt idx="12">
                  <c:v>-85.626492754672199</c:v>
                </c:pt>
                <c:pt idx="13">
                  <c:v>-80.514683696840493</c:v>
                </c:pt>
                <c:pt idx="14">
                  <c:v>-75.423431320099681</c:v>
                </c:pt>
                <c:pt idx="15">
                  <c:v>-70.354286469243775</c:v>
                </c:pt>
                <c:pt idx="16">
                  <c:v>-65.308793254900252</c:v>
                </c:pt>
                <c:pt idx="17">
                  <c:v>-60.288488583178975</c:v>
                </c:pt>
                <c:pt idx="18">
                  <c:v>-55.294901687515775</c:v>
                </c:pt>
                <c:pt idx="19">
                  <c:v>-50.329553662853002</c:v>
                </c:pt>
                <c:pt idx="20">
                  <c:v>-45.393957002299388</c:v>
                </c:pt>
                <c:pt idx="21">
                  <c:v>-40.489615136409924</c:v>
                </c:pt>
                <c:pt idx="22">
                  <c:v>-35.618021975226398</c:v>
                </c:pt>
                <c:pt idx="23">
                  <c:v>-30.780661453217888</c:v>
                </c:pt>
                <c:pt idx="24">
                  <c:v>-25.979007077259951</c:v>
                </c:pt>
                <c:pt idx="25">
                  <c:v>-21.214521477790171</c:v>
                </c:pt>
                <c:pt idx="26">
                  <c:v>-16.488655963276784</c:v>
                </c:pt>
                <c:pt idx="27">
                  <c:v>-11.802850078135975</c:v>
                </c:pt>
                <c:pt idx="28">
                  <c:v>-7.1585311642327554</c:v>
                </c:pt>
                <c:pt idx="29">
                  <c:v>-2.5571139260988787</c:v>
                </c:pt>
                <c:pt idx="30">
                  <c:v>1.9999999999999716</c:v>
                </c:pt>
                <c:pt idx="31">
                  <c:v>6.5114224730162391</c:v>
                </c:pt>
                <c:pt idx="32">
                  <c:v>10.975779269961464</c:v>
                </c:pt>
                <c:pt idx="33">
                  <c:v>15.391710504508126</c:v>
                </c:pt>
                <c:pt idx="34">
                  <c:v>19.757871041224064</c:v>
                </c:pt>
                <c:pt idx="35">
                  <c:v>24.072930905313825</c:v>
                </c:pt>
                <c:pt idx="36">
                  <c:v>28.335575687741937</c:v>
                </c:pt>
                <c:pt idx="37">
                  <c:v>32.544506945614472</c:v>
                </c:pt>
                <c:pt idx="38">
                  <c:v>36.698442597697465</c:v>
                </c:pt>
                <c:pt idx="39">
                  <c:v>40.796117314951204</c:v>
                </c:pt>
                <c:pt idx="40">
                  <c:v>44.836282905961781</c:v>
                </c:pt>
                <c:pt idx="41">
                  <c:v>48.817708697152142</c:v>
                </c:pt>
                <c:pt idx="42">
                  <c:v>52.739181907657468</c:v>
                </c:pt>
                <c:pt idx="43">
                  <c:v>56.599508018749532</c:v>
                </c:pt>
                <c:pt idx="44">
                  <c:v>60.397511137699183</c:v>
                </c:pt>
                <c:pt idx="45">
                  <c:v>64.132034355964237</c:v>
                </c:pt>
                <c:pt idx="46">
                  <c:v>67.801940101595335</c:v>
                </c:pt>
                <c:pt idx="47">
                  <c:v>71.406110485751128</c:v>
                </c:pt>
                <c:pt idx="48">
                  <c:v>74.943447643218235</c:v>
                </c:pt>
                <c:pt idx="49">
                  <c:v>78.412874066831591</c:v>
                </c:pt>
                <c:pt idx="50">
                  <c:v>81.81333293569341</c:v>
                </c:pt>
                <c:pt idx="51">
                  <c:v>85.143788437091246</c:v>
                </c:pt>
                <c:pt idx="52">
                  <c:v>88.403226082016602</c:v>
                </c:pt>
                <c:pt idx="53">
                  <c:v>91.590653014187836</c:v>
                </c:pt>
                <c:pt idx="54">
                  <c:v>94.705098312484239</c:v>
                </c:pt>
                <c:pt idx="55">
                  <c:v>97.745613286697534</c:v>
                </c:pt>
                <c:pt idx="56">
                  <c:v>100.71127176651251</c:v>
                </c:pt>
                <c:pt idx="57">
                  <c:v>103.60117038362719</c:v>
                </c:pt>
                <c:pt idx="58">
                  <c:v>106.41442884692779</c:v>
                </c:pt>
                <c:pt idx="59">
                  <c:v>109.15019021063364</c:v>
                </c:pt>
                <c:pt idx="60">
                  <c:v>111.8076211353316</c:v>
                </c:pt>
                <c:pt idx="61">
                  <c:v>114.38591214181872</c:v>
                </c:pt>
                <c:pt idx="62">
                  <c:v>116.88427785767806</c:v>
                </c:pt>
                <c:pt idx="63">
                  <c:v>119.30195725651032</c:v>
                </c:pt>
                <c:pt idx="64">
                  <c:v>121.63821388975009</c:v>
                </c:pt>
                <c:pt idx="65">
                  <c:v>123.89233611099496</c:v>
                </c:pt>
                <c:pt idx="66">
                  <c:v>126.06363729278024</c:v>
                </c:pt>
                <c:pt idx="67">
                  <c:v>128.15145603573205</c:v>
                </c:pt>
                <c:pt idx="68">
                  <c:v>130.15515637003625</c:v>
                </c:pt>
                <c:pt idx="69">
                  <c:v>132.07412794916053</c:v>
                </c:pt>
                <c:pt idx="70">
                  <c:v>133.90778623577251</c:v>
                </c:pt>
                <c:pt idx="71">
                  <c:v>135.655572679795</c:v>
                </c:pt>
                <c:pt idx="72">
                  <c:v>137.31695488854604</c:v>
                </c:pt>
                <c:pt idx="73">
                  <c:v>138.89142678891062</c:v>
                </c:pt>
                <c:pt idx="74">
                  <c:v>140.37850878149567</c:v>
                </c:pt>
                <c:pt idx="75">
                  <c:v>141.77774788672048</c:v>
                </c:pt>
                <c:pt idx="76">
                  <c:v>143.08871788279896</c:v>
                </c:pt>
                <c:pt idx="77">
                  <c:v>144.31101943557059</c:v>
                </c:pt>
                <c:pt idx="78">
                  <c:v>145.44428022014165</c:v>
                </c:pt>
                <c:pt idx="79">
                  <c:v>146.48815503429921</c:v>
                </c:pt>
                <c:pt idx="80">
                  <c:v>147.44232590366238</c:v>
                </c:pt>
                <c:pt idx="81">
                  <c:v>148.30650217854134</c:v>
                </c:pt>
                <c:pt idx="82">
                  <c:v>149.08042062247108</c:v>
                </c:pt>
                <c:pt idx="83">
                  <c:v>149.76384549239657</c:v>
                </c:pt>
                <c:pt idx="84">
                  <c:v>150.35656861048199</c:v>
                </c:pt>
                <c:pt idx="85">
                  <c:v>150.85840942752367</c:v>
                </c:pt>
                <c:pt idx="86">
                  <c:v>151.26921507794725</c:v>
                </c:pt>
                <c:pt idx="87">
                  <c:v>151.58886042637215</c:v>
                </c:pt>
                <c:pt idx="88">
                  <c:v>151.81724810572871</c:v>
                </c:pt>
                <c:pt idx="89">
                  <c:v>151.95430854691739</c:v>
                </c:pt>
                <c:pt idx="90">
                  <c:v>152</c:v>
                </c:pt>
                <c:pt idx="91">
                  <c:v>151.95430854691739</c:v>
                </c:pt>
                <c:pt idx="92">
                  <c:v>151.81724810572871</c:v>
                </c:pt>
                <c:pt idx="93">
                  <c:v>151.58886042637215</c:v>
                </c:pt>
                <c:pt idx="94">
                  <c:v>151.26921507794725</c:v>
                </c:pt>
                <c:pt idx="95">
                  <c:v>150.85840942752367</c:v>
                </c:pt>
                <c:pt idx="96">
                  <c:v>150.35656861048204</c:v>
                </c:pt>
                <c:pt idx="97">
                  <c:v>149.76384549239663</c:v>
                </c:pt>
                <c:pt idx="98">
                  <c:v>149.08042062247108</c:v>
                </c:pt>
                <c:pt idx="99">
                  <c:v>148.30650217854128</c:v>
                </c:pt>
                <c:pt idx="100">
                  <c:v>147.44232590366238</c:v>
                </c:pt>
                <c:pt idx="101">
                  <c:v>146.48815503429921</c:v>
                </c:pt>
                <c:pt idx="102">
                  <c:v>145.44428022014171</c:v>
                </c:pt>
                <c:pt idx="103">
                  <c:v>144.31101943557059</c:v>
                </c:pt>
                <c:pt idx="104">
                  <c:v>143.08871788279896</c:v>
                </c:pt>
                <c:pt idx="105">
                  <c:v>141.77774788672048</c:v>
                </c:pt>
                <c:pt idx="106">
                  <c:v>140.37850878149567</c:v>
                </c:pt>
                <c:pt idx="107">
                  <c:v>138.89142678891068</c:v>
                </c:pt>
                <c:pt idx="108">
                  <c:v>137.31695488854609</c:v>
                </c:pt>
                <c:pt idx="109">
                  <c:v>135.65557267979506</c:v>
                </c:pt>
                <c:pt idx="110">
                  <c:v>133.90778623577251</c:v>
                </c:pt>
                <c:pt idx="111">
                  <c:v>132.07412794916053</c:v>
                </c:pt>
                <c:pt idx="112">
                  <c:v>130.15515637003625</c:v>
                </c:pt>
                <c:pt idx="113">
                  <c:v>128.15145603573211</c:v>
                </c:pt>
                <c:pt idx="114">
                  <c:v>126.0636372927803</c:v>
                </c:pt>
                <c:pt idx="115">
                  <c:v>123.89233611099502</c:v>
                </c:pt>
                <c:pt idx="116">
                  <c:v>121.63821388975009</c:v>
                </c:pt>
                <c:pt idx="117">
                  <c:v>119.30195725651038</c:v>
                </c:pt>
                <c:pt idx="118">
                  <c:v>116.88427785767811</c:v>
                </c:pt>
                <c:pt idx="119">
                  <c:v>114.38591214181878</c:v>
                </c:pt>
                <c:pt idx="120">
                  <c:v>111.8076211353316</c:v>
                </c:pt>
                <c:pt idx="121">
                  <c:v>109.1501902106337</c:v>
                </c:pt>
                <c:pt idx="122">
                  <c:v>106.41442884692782</c:v>
                </c:pt>
                <c:pt idx="123">
                  <c:v>103.60117038362719</c:v>
                </c:pt>
                <c:pt idx="124">
                  <c:v>100.71127176651251</c:v>
                </c:pt>
                <c:pt idx="125">
                  <c:v>97.745613286697619</c:v>
                </c:pt>
                <c:pt idx="126">
                  <c:v>94.705098312484239</c:v>
                </c:pt>
                <c:pt idx="127">
                  <c:v>91.590653014187808</c:v>
                </c:pt>
                <c:pt idx="128">
                  <c:v>88.403226082016602</c:v>
                </c:pt>
                <c:pt idx="129">
                  <c:v>85.143788437091303</c:v>
                </c:pt>
                <c:pt idx="130">
                  <c:v>81.81333293569341</c:v>
                </c:pt>
                <c:pt idx="131">
                  <c:v>78.412874066831534</c:v>
                </c:pt>
                <c:pt idx="132">
                  <c:v>74.943447643218263</c:v>
                </c:pt>
                <c:pt idx="133">
                  <c:v>71.406110485751185</c:v>
                </c:pt>
                <c:pt idx="134">
                  <c:v>67.80194010159542</c:v>
                </c:pt>
                <c:pt idx="135">
                  <c:v>64.132034355964265</c:v>
                </c:pt>
                <c:pt idx="136">
                  <c:v>60.397511137699155</c:v>
                </c:pt>
                <c:pt idx="137">
                  <c:v>56.599508018749589</c:v>
                </c:pt>
                <c:pt idx="138">
                  <c:v>52.739181907657496</c:v>
                </c:pt>
                <c:pt idx="139">
                  <c:v>48.81770869715217</c:v>
                </c:pt>
                <c:pt idx="140">
                  <c:v>44.836282905961838</c:v>
                </c:pt>
                <c:pt idx="141">
                  <c:v>40.796117314951317</c:v>
                </c:pt>
                <c:pt idx="142">
                  <c:v>36.698442597697522</c:v>
                </c:pt>
                <c:pt idx="143">
                  <c:v>32.544506945614444</c:v>
                </c:pt>
                <c:pt idx="144">
                  <c:v>28.335575687741965</c:v>
                </c:pt>
                <c:pt idx="145">
                  <c:v>24.07293090531391</c:v>
                </c:pt>
                <c:pt idx="146">
                  <c:v>19.757871041224064</c:v>
                </c:pt>
                <c:pt idx="147">
                  <c:v>15.391710504508097</c:v>
                </c:pt>
                <c:pt idx="148">
                  <c:v>10.975779269961464</c:v>
                </c:pt>
                <c:pt idx="149">
                  <c:v>6.5114224730163244</c:v>
                </c:pt>
                <c:pt idx="150">
                  <c:v>1.9999999999999716</c:v>
                </c:pt>
                <c:pt idx="151">
                  <c:v>-2.5571139260988502</c:v>
                </c:pt>
                <c:pt idx="152">
                  <c:v>-7.1585311642326701</c:v>
                </c:pt>
                <c:pt idx="153">
                  <c:v>-11.802850078135947</c:v>
                </c:pt>
                <c:pt idx="154">
                  <c:v>-16.488655963276813</c:v>
                </c:pt>
                <c:pt idx="155">
                  <c:v>-21.214521477790157</c:v>
                </c:pt>
                <c:pt idx="156">
                  <c:v>-25.979007077259865</c:v>
                </c:pt>
                <c:pt idx="157">
                  <c:v>-30.780661453217746</c:v>
                </c:pt>
                <c:pt idx="158">
                  <c:v>-35.618021975226327</c:v>
                </c:pt>
                <c:pt idx="159">
                  <c:v>-40.489615136409938</c:v>
                </c:pt>
                <c:pt idx="160">
                  <c:v>-45.393957002299331</c:v>
                </c:pt>
                <c:pt idx="161">
                  <c:v>-50.329553662852888</c:v>
                </c:pt>
                <c:pt idx="162">
                  <c:v>-55.294901687515747</c:v>
                </c:pt>
                <c:pt idx="163">
                  <c:v>-60.288488583178889</c:v>
                </c:pt>
                <c:pt idx="164">
                  <c:v>-65.308793254900095</c:v>
                </c:pt>
                <c:pt idx="165">
                  <c:v>-70.354286469243689</c:v>
                </c:pt>
                <c:pt idx="166">
                  <c:v>-75.423431320099681</c:v>
                </c:pt>
                <c:pt idx="167">
                  <c:v>-80.514683696840564</c:v>
                </c:pt>
                <c:pt idx="168">
                  <c:v>-85.626492754672199</c:v>
                </c:pt>
                <c:pt idx="169">
                  <c:v>-90.757301387036506</c:v>
                </c:pt>
                <c:pt idx="170">
                  <c:v>-95.905546699920919</c:v>
                </c:pt>
                <c:pt idx="171">
                  <c:v>-101.0696604879307</c:v>
                </c:pt>
                <c:pt idx="172">
                  <c:v>-106.24806971198028</c:v>
                </c:pt>
                <c:pt idx="173">
                  <c:v>-111.43919697845573</c:v>
                </c:pt>
                <c:pt idx="174">
                  <c:v>-116.64146101970388</c:v>
                </c:pt>
                <c:pt idx="175">
                  <c:v>-121.8532771757024</c:v>
                </c:pt>
                <c:pt idx="176">
                  <c:v>-127.07305787676233</c:v>
                </c:pt>
                <c:pt idx="177">
                  <c:v>-132.29921312711684</c:v>
                </c:pt>
                <c:pt idx="178">
                  <c:v>-137.53015098924979</c:v>
                </c:pt>
                <c:pt idx="179">
                  <c:v>-142.76427806881497</c:v>
                </c:pt>
                <c:pt idx="180">
                  <c:v>-147.99999999999997</c:v>
                </c:pt>
                <c:pt idx="181">
                  <c:v>-153.23572193118497</c:v>
                </c:pt>
                <c:pt idx="182">
                  <c:v>-158.46984901075027</c:v>
                </c:pt>
                <c:pt idx="183">
                  <c:v>-163.70078687288307</c:v>
                </c:pt>
                <c:pt idx="184">
                  <c:v>-168.92694212323744</c:v>
                </c:pt>
                <c:pt idx="185">
                  <c:v>-174.1467228242974</c:v>
                </c:pt>
                <c:pt idx="186">
                  <c:v>-179.35853898029592</c:v>
                </c:pt>
                <c:pt idx="187">
                  <c:v>-184.56080302154433</c:v>
                </c:pt>
                <c:pt idx="188">
                  <c:v>-189.75193028801965</c:v>
                </c:pt>
                <c:pt idx="189">
                  <c:v>-194.93033951206922</c:v>
                </c:pt>
                <c:pt idx="190">
                  <c:v>-200.09445330007912</c:v>
                </c:pt>
                <c:pt idx="191">
                  <c:v>-205.24269861296341</c:v>
                </c:pt>
                <c:pt idx="192">
                  <c:v>-210.37350724532772</c:v>
                </c:pt>
                <c:pt idx="193">
                  <c:v>-215.48531630315949</c:v>
                </c:pt>
                <c:pt idx="194">
                  <c:v>-220.57656867990025</c:v>
                </c:pt>
                <c:pt idx="195">
                  <c:v>-225.6457135307561</c:v>
                </c:pt>
                <c:pt idx="196">
                  <c:v>-230.69120674509969</c:v>
                </c:pt>
                <c:pt idx="197">
                  <c:v>-235.71151141682091</c:v>
                </c:pt>
                <c:pt idx="198">
                  <c:v>-240.70509831248432</c:v>
                </c:pt>
                <c:pt idx="199">
                  <c:v>-245.67044633714704</c:v>
                </c:pt>
                <c:pt idx="200">
                  <c:v>-250.6060429977006</c:v>
                </c:pt>
                <c:pt idx="201">
                  <c:v>-255.51038486359013</c:v>
                </c:pt>
                <c:pt idx="202">
                  <c:v>-260.38197802477362</c:v>
                </c:pt>
                <c:pt idx="203">
                  <c:v>-265.21933854678207</c:v>
                </c:pt>
                <c:pt idx="204">
                  <c:v>-270.02099292273994</c:v>
                </c:pt>
                <c:pt idx="205">
                  <c:v>-274.78547852220981</c:v>
                </c:pt>
                <c:pt idx="206">
                  <c:v>-279.51134403672313</c:v>
                </c:pt>
                <c:pt idx="207">
                  <c:v>-284.19714992186391</c:v>
                </c:pt>
                <c:pt idx="208">
                  <c:v>-288.84146883576727</c:v>
                </c:pt>
                <c:pt idx="209">
                  <c:v>-293.44288607390109</c:v>
                </c:pt>
                <c:pt idx="210">
                  <c:v>-298</c:v>
                </c:pt>
                <c:pt idx="211">
                  <c:v>-302.51142247301624</c:v>
                </c:pt>
                <c:pt idx="212">
                  <c:v>-306.97577926996144</c:v>
                </c:pt>
                <c:pt idx="213">
                  <c:v>-311.39171050450813</c:v>
                </c:pt>
                <c:pt idx="214">
                  <c:v>-315.75787104122401</c:v>
                </c:pt>
                <c:pt idx="215">
                  <c:v>-320.07293090531374</c:v>
                </c:pt>
                <c:pt idx="216">
                  <c:v>-324.33557568774188</c:v>
                </c:pt>
                <c:pt idx="217">
                  <c:v>-328.54450694561444</c:v>
                </c:pt>
                <c:pt idx="218">
                  <c:v>-332.69844259769735</c:v>
                </c:pt>
                <c:pt idx="219">
                  <c:v>-336.79611731495129</c:v>
                </c:pt>
                <c:pt idx="220">
                  <c:v>-340.83628290596175</c:v>
                </c:pt>
                <c:pt idx="221">
                  <c:v>-344.81770869715223</c:v>
                </c:pt>
                <c:pt idx="222">
                  <c:v>-348.73918190765744</c:v>
                </c:pt>
                <c:pt idx="223">
                  <c:v>-352.59950801874948</c:v>
                </c:pt>
                <c:pt idx="224">
                  <c:v>-356.39751113769921</c:v>
                </c:pt>
                <c:pt idx="225">
                  <c:v>-360.13203435596427</c:v>
                </c:pt>
                <c:pt idx="226">
                  <c:v>-363.80194010159528</c:v>
                </c:pt>
                <c:pt idx="227">
                  <c:v>-367.40611048575101</c:v>
                </c:pt>
                <c:pt idx="228">
                  <c:v>-370.94344764321818</c:v>
                </c:pt>
                <c:pt idx="229">
                  <c:v>-374.41287406683148</c:v>
                </c:pt>
                <c:pt idx="230">
                  <c:v>-377.81333293569338</c:v>
                </c:pt>
                <c:pt idx="231">
                  <c:v>-381.1437884370913</c:v>
                </c:pt>
                <c:pt idx="232">
                  <c:v>-384.40322608201666</c:v>
                </c:pt>
                <c:pt idx="233">
                  <c:v>-387.59065301418786</c:v>
                </c:pt>
                <c:pt idx="234">
                  <c:v>-390.70509831248421</c:v>
                </c:pt>
                <c:pt idx="235">
                  <c:v>-393.74561328669745</c:v>
                </c:pt>
                <c:pt idx="236">
                  <c:v>-396.71127176651243</c:v>
                </c:pt>
                <c:pt idx="237">
                  <c:v>-399.60117038362722</c:v>
                </c:pt>
                <c:pt idx="238">
                  <c:v>-402.41442884692776</c:v>
                </c:pt>
                <c:pt idx="239">
                  <c:v>-405.15019021063364</c:v>
                </c:pt>
                <c:pt idx="240">
                  <c:v>-407.80762113533149</c:v>
                </c:pt>
                <c:pt idx="241">
                  <c:v>-410.38591214181878</c:v>
                </c:pt>
                <c:pt idx="242">
                  <c:v>-412.88427785767811</c:v>
                </c:pt>
                <c:pt idx="243">
                  <c:v>-415.30195725651032</c:v>
                </c:pt>
                <c:pt idx="244">
                  <c:v>-417.63821388975003</c:v>
                </c:pt>
                <c:pt idx="245">
                  <c:v>-419.8923361109949</c:v>
                </c:pt>
                <c:pt idx="246">
                  <c:v>-422.0636372927803</c:v>
                </c:pt>
                <c:pt idx="247">
                  <c:v>-424.15145603573205</c:v>
                </c:pt>
                <c:pt idx="248">
                  <c:v>-426.1551563700362</c:v>
                </c:pt>
                <c:pt idx="249">
                  <c:v>-428.07412794916047</c:v>
                </c:pt>
                <c:pt idx="250">
                  <c:v>-429.90778623577245</c:v>
                </c:pt>
                <c:pt idx="251">
                  <c:v>-431.65557267979506</c:v>
                </c:pt>
                <c:pt idx="252">
                  <c:v>-433.31695488854604</c:v>
                </c:pt>
                <c:pt idx="253">
                  <c:v>-434.89142678891062</c:v>
                </c:pt>
                <c:pt idx="254">
                  <c:v>-436.37850878149573</c:v>
                </c:pt>
                <c:pt idx="255">
                  <c:v>-437.77774788672048</c:v>
                </c:pt>
                <c:pt idx="256">
                  <c:v>-439.08871788279896</c:v>
                </c:pt>
                <c:pt idx="257">
                  <c:v>-440.31101943557053</c:v>
                </c:pt>
                <c:pt idx="258">
                  <c:v>-441.44428022014165</c:v>
                </c:pt>
                <c:pt idx="259">
                  <c:v>-442.48815503429915</c:v>
                </c:pt>
                <c:pt idx="260">
                  <c:v>-443.44232590366238</c:v>
                </c:pt>
                <c:pt idx="261">
                  <c:v>-444.30650217854128</c:v>
                </c:pt>
                <c:pt idx="262">
                  <c:v>-445.08042062247108</c:v>
                </c:pt>
                <c:pt idx="263">
                  <c:v>-445.76384549239663</c:v>
                </c:pt>
                <c:pt idx="264">
                  <c:v>-446.35656861048204</c:v>
                </c:pt>
                <c:pt idx="265">
                  <c:v>-446.85840942752367</c:v>
                </c:pt>
                <c:pt idx="266">
                  <c:v>-447.26921507794725</c:v>
                </c:pt>
                <c:pt idx="267">
                  <c:v>-447.58886042637215</c:v>
                </c:pt>
                <c:pt idx="268">
                  <c:v>-447.81724810572871</c:v>
                </c:pt>
                <c:pt idx="269">
                  <c:v>-447.95430854691739</c:v>
                </c:pt>
                <c:pt idx="270">
                  <c:v>-448</c:v>
                </c:pt>
                <c:pt idx="271">
                  <c:v>-447.95430854691739</c:v>
                </c:pt>
                <c:pt idx="272">
                  <c:v>-447.81724810572871</c:v>
                </c:pt>
                <c:pt idx="273">
                  <c:v>-447.58886042637215</c:v>
                </c:pt>
                <c:pt idx="274">
                  <c:v>-447.26921507794731</c:v>
                </c:pt>
                <c:pt idx="275">
                  <c:v>-446.85840942752367</c:v>
                </c:pt>
                <c:pt idx="276">
                  <c:v>-446.35656861048204</c:v>
                </c:pt>
                <c:pt idx="277">
                  <c:v>-445.76384549239657</c:v>
                </c:pt>
                <c:pt idx="278">
                  <c:v>-445.08042062247108</c:v>
                </c:pt>
                <c:pt idx="279">
                  <c:v>-444.30650217854134</c:v>
                </c:pt>
                <c:pt idx="280">
                  <c:v>-443.44232590366244</c:v>
                </c:pt>
                <c:pt idx="281">
                  <c:v>-442.48815503429921</c:v>
                </c:pt>
                <c:pt idx="282">
                  <c:v>-441.44428022014176</c:v>
                </c:pt>
                <c:pt idx="283">
                  <c:v>-440.31101943557059</c:v>
                </c:pt>
                <c:pt idx="284">
                  <c:v>-439.08871788279896</c:v>
                </c:pt>
                <c:pt idx="285">
                  <c:v>-437.77774788672048</c:v>
                </c:pt>
                <c:pt idx="286">
                  <c:v>-436.37850878149561</c:v>
                </c:pt>
                <c:pt idx="287">
                  <c:v>-434.89142678891062</c:v>
                </c:pt>
                <c:pt idx="288">
                  <c:v>-433.31695488854609</c:v>
                </c:pt>
                <c:pt idx="289">
                  <c:v>-431.65557267979511</c:v>
                </c:pt>
                <c:pt idx="290">
                  <c:v>-429.90778623577256</c:v>
                </c:pt>
                <c:pt idx="291">
                  <c:v>-428.07412794916064</c:v>
                </c:pt>
                <c:pt idx="292">
                  <c:v>-426.15515637003625</c:v>
                </c:pt>
                <c:pt idx="293">
                  <c:v>-424.15145603573217</c:v>
                </c:pt>
                <c:pt idx="294">
                  <c:v>-422.06363729278024</c:v>
                </c:pt>
                <c:pt idx="295">
                  <c:v>-419.89233611099496</c:v>
                </c:pt>
                <c:pt idx="296">
                  <c:v>-417.63821388975009</c:v>
                </c:pt>
                <c:pt idx="297">
                  <c:v>-415.30195725651038</c:v>
                </c:pt>
                <c:pt idx="298">
                  <c:v>-412.88427785767811</c:v>
                </c:pt>
                <c:pt idx="299">
                  <c:v>-410.38591214181884</c:v>
                </c:pt>
                <c:pt idx="300">
                  <c:v>-407.8076211353316</c:v>
                </c:pt>
                <c:pt idx="301">
                  <c:v>-405.1501902106337</c:v>
                </c:pt>
                <c:pt idx="302">
                  <c:v>-402.41442884692788</c:v>
                </c:pt>
                <c:pt idx="303">
                  <c:v>-399.60117038362728</c:v>
                </c:pt>
                <c:pt idx="304">
                  <c:v>-396.7112717665126</c:v>
                </c:pt>
                <c:pt idx="305">
                  <c:v>-393.74561328669756</c:v>
                </c:pt>
                <c:pt idx="306">
                  <c:v>-390.70509831248427</c:v>
                </c:pt>
                <c:pt idx="307">
                  <c:v>-387.59065301418792</c:v>
                </c:pt>
                <c:pt idx="308">
                  <c:v>-384.40322608201654</c:v>
                </c:pt>
                <c:pt idx="309">
                  <c:v>-381.14378843709125</c:v>
                </c:pt>
                <c:pt idx="310">
                  <c:v>-377.81333293569344</c:v>
                </c:pt>
                <c:pt idx="311">
                  <c:v>-374.41287406683171</c:v>
                </c:pt>
                <c:pt idx="312">
                  <c:v>-370.94344764321841</c:v>
                </c:pt>
                <c:pt idx="313">
                  <c:v>-367.4061104857513</c:v>
                </c:pt>
                <c:pt idx="314">
                  <c:v>-363.80194010159551</c:v>
                </c:pt>
                <c:pt idx="315">
                  <c:v>-360.13203435596427</c:v>
                </c:pt>
                <c:pt idx="316">
                  <c:v>-356.39751113769927</c:v>
                </c:pt>
                <c:pt idx="317">
                  <c:v>-352.59950801874948</c:v>
                </c:pt>
                <c:pt idx="318">
                  <c:v>-348.73918190765744</c:v>
                </c:pt>
                <c:pt idx="319">
                  <c:v>-344.81770869715223</c:v>
                </c:pt>
                <c:pt idx="320">
                  <c:v>-340.83628290596187</c:v>
                </c:pt>
                <c:pt idx="321">
                  <c:v>-336.79611731495135</c:v>
                </c:pt>
                <c:pt idx="322">
                  <c:v>-332.69844259769764</c:v>
                </c:pt>
                <c:pt idx="323">
                  <c:v>-328.54450694561444</c:v>
                </c:pt>
                <c:pt idx="324">
                  <c:v>-324.33557568774199</c:v>
                </c:pt>
                <c:pt idx="325">
                  <c:v>-320.07293090531391</c:v>
                </c:pt>
                <c:pt idx="326">
                  <c:v>-315.75787104122423</c:v>
                </c:pt>
                <c:pt idx="327">
                  <c:v>-311.39171050450807</c:v>
                </c:pt>
                <c:pt idx="328">
                  <c:v>-306.97577926996178</c:v>
                </c:pt>
                <c:pt idx="329">
                  <c:v>-302.51142247301635</c:v>
                </c:pt>
                <c:pt idx="330">
                  <c:v>-298.00000000000011</c:v>
                </c:pt>
                <c:pt idx="331">
                  <c:v>-293.44288607390104</c:v>
                </c:pt>
                <c:pt idx="332">
                  <c:v>-288.84146883576727</c:v>
                </c:pt>
                <c:pt idx="333">
                  <c:v>-284.19714992186408</c:v>
                </c:pt>
                <c:pt idx="334">
                  <c:v>-279.51134403672313</c:v>
                </c:pt>
                <c:pt idx="335">
                  <c:v>-274.78547852220998</c:v>
                </c:pt>
                <c:pt idx="336">
                  <c:v>-270.02099292274005</c:v>
                </c:pt>
                <c:pt idx="337">
                  <c:v>-265.21933854678241</c:v>
                </c:pt>
                <c:pt idx="338">
                  <c:v>-260.38197802477373</c:v>
                </c:pt>
                <c:pt idx="339">
                  <c:v>-255.51038486359022</c:v>
                </c:pt>
                <c:pt idx="340">
                  <c:v>-250.60604299770057</c:v>
                </c:pt>
                <c:pt idx="341">
                  <c:v>-245.67044633714727</c:v>
                </c:pt>
                <c:pt idx="342">
                  <c:v>-240.70509831248427</c:v>
                </c:pt>
                <c:pt idx="343">
                  <c:v>-235.71151141682088</c:v>
                </c:pt>
                <c:pt idx="344">
                  <c:v>-230.69120674509992</c:v>
                </c:pt>
                <c:pt idx="345">
                  <c:v>-225.64571353075621</c:v>
                </c:pt>
                <c:pt idx="346">
                  <c:v>-220.57656867990036</c:v>
                </c:pt>
                <c:pt idx="347">
                  <c:v>-215.48531630315961</c:v>
                </c:pt>
                <c:pt idx="348">
                  <c:v>-210.37350724532797</c:v>
                </c:pt>
                <c:pt idx="349">
                  <c:v>-205.24269861296341</c:v>
                </c:pt>
                <c:pt idx="350">
                  <c:v>-200.09445330007938</c:v>
                </c:pt>
                <c:pt idx="351">
                  <c:v>-194.93033951206934</c:v>
                </c:pt>
                <c:pt idx="352">
                  <c:v>-189.75193028801976</c:v>
                </c:pt>
                <c:pt idx="353">
                  <c:v>-184.56080302154444</c:v>
                </c:pt>
                <c:pt idx="354">
                  <c:v>-179.35853898029603</c:v>
                </c:pt>
                <c:pt idx="355">
                  <c:v>-174.14672282429748</c:v>
                </c:pt>
                <c:pt idx="356">
                  <c:v>-168.92694212323744</c:v>
                </c:pt>
                <c:pt idx="357">
                  <c:v>-163.7007868728833</c:v>
                </c:pt>
                <c:pt idx="358">
                  <c:v>-158.46984901075024</c:v>
                </c:pt>
                <c:pt idx="359">
                  <c:v>-153.23572193118534</c:v>
                </c:pt>
                <c:pt idx="360">
                  <c:v>-148.00000000000009</c:v>
                </c:pt>
              </c:numCache>
            </c:numRef>
          </c:xVal>
          <c:yVal>
            <c:numRef>
              <c:f>Aufsicht!$T$10:$T$370</c:f>
              <c:numCache>
                <c:formatCode>General</c:formatCode>
                <c:ptCount val="361"/>
                <c:pt idx="0">
                  <c:v>300</c:v>
                </c:pt>
                <c:pt idx="1">
                  <c:v>299.95430854691739</c:v>
                </c:pt>
                <c:pt idx="2">
                  <c:v>299.81724810572871</c:v>
                </c:pt>
                <c:pt idx="3">
                  <c:v>299.58886042637215</c:v>
                </c:pt>
                <c:pt idx="4">
                  <c:v>299.26921507794725</c:v>
                </c:pt>
                <c:pt idx="5">
                  <c:v>298.85840942752367</c:v>
                </c:pt>
                <c:pt idx="6">
                  <c:v>298.35656861048199</c:v>
                </c:pt>
                <c:pt idx="7">
                  <c:v>297.76384549239657</c:v>
                </c:pt>
                <c:pt idx="8">
                  <c:v>297.08042062247108</c:v>
                </c:pt>
                <c:pt idx="9">
                  <c:v>296.30650217854134</c:v>
                </c:pt>
                <c:pt idx="10">
                  <c:v>295.44232590366238</c:v>
                </c:pt>
                <c:pt idx="11">
                  <c:v>294.48815503429921</c:v>
                </c:pt>
                <c:pt idx="12">
                  <c:v>293.44428022014171</c:v>
                </c:pt>
                <c:pt idx="13">
                  <c:v>292.31101943557059</c:v>
                </c:pt>
                <c:pt idx="14">
                  <c:v>291.08871788279896</c:v>
                </c:pt>
                <c:pt idx="15">
                  <c:v>289.77774788672048</c:v>
                </c:pt>
                <c:pt idx="16">
                  <c:v>288.37850878149567</c:v>
                </c:pt>
                <c:pt idx="17">
                  <c:v>286.89142678891062</c:v>
                </c:pt>
                <c:pt idx="18">
                  <c:v>285.31695488854604</c:v>
                </c:pt>
                <c:pt idx="19">
                  <c:v>283.65557267979506</c:v>
                </c:pt>
                <c:pt idx="20">
                  <c:v>281.90778623577251</c:v>
                </c:pt>
                <c:pt idx="21">
                  <c:v>280.07412794916053</c:v>
                </c:pt>
                <c:pt idx="22">
                  <c:v>278.15515637003625</c:v>
                </c:pt>
                <c:pt idx="23">
                  <c:v>276.15145603573211</c:v>
                </c:pt>
                <c:pt idx="24">
                  <c:v>274.06363729278024</c:v>
                </c:pt>
                <c:pt idx="25">
                  <c:v>271.89233611099496</c:v>
                </c:pt>
                <c:pt idx="26">
                  <c:v>269.63821388975009</c:v>
                </c:pt>
                <c:pt idx="27">
                  <c:v>267.30195725651038</c:v>
                </c:pt>
                <c:pt idx="28">
                  <c:v>264.88427785767811</c:v>
                </c:pt>
                <c:pt idx="29">
                  <c:v>262.38591214181872</c:v>
                </c:pt>
                <c:pt idx="30">
                  <c:v>259.8076211353316</c:v>
                </c:pt>
                <c:pt idx="31">
                  <c:v>257.1501902106337</c:v>
                </c:pt>
                <c:pt idx="32">
                  <c:v>254.41442884692779</c:v>
                </c:pt>
                <c:pt idx="33">
                  <c:v>251.60117038362722</c:v>
                </c:pt>
                <c:pt idx="34">
                  <c:v>248.71127176651248</c:v>
                </c:pt>
                <c:pt idx="35">
                  <c:v>245.74561328669753</c:v>
                </c:pt>
                <c:pt idx="36">
                  <c:v>242.70509831248424</c:v>
                </c:pt>
                <c:pt idx="37">
                  <c:v>239.59065301418784</c:v>
                </c:pt>
                <c:pt idx="38">
                  <c:v>236.4032260820166</c:v>
                </c:pt>
                <c:pt idx="39">
                  <c:v>233.14378843709127</c:v>
                </c:pt>
                <c:pt idx="40">
                  <c:v>229.81333293569341</c:v>
                </c:pt>
                <c:pt idx="41">
                  <c:v>226.41287406683165</c:v>
                </c:pt>
                <c:pt idx="42">
                  <c:v>222.94344764321826</c:v>
                </c:pt>
                <c:pt idx="43">
                  <c:v>219.40611048575119</c:v>
                </c:pt>
                <c:pt idx="44">
                  <c:v>215.80194010159536</c:v>
                </c:pt>
                <c:pt idx="45">
                  <c:v>212.13203435596427</c:v>
                </c:pt>
                <c:pt idx="46">
                  <c:v>208.39751113769921</c:v>
                </c:pt>
                <c:pt idx="47">
                  <c:v>204.59950801874953</c:v>
                </c:pt>
                <c:pt idx="48">
                  <c:v>200.73918190765747</c:v>
                </c:pt>
                <c:pt idx="49">
                  <c:v>196.81770869715217</c:v>
                </c:pt>
                <c:pt idx="50">
                  <c:v>192.83628290596181</c:v>
                </c:pt>
                <c:pt idx="51">
                  <c:v>188.79611731495126</c:v>
                </c:pt>
                <c:pt idx="52">
                  <c:v>184.69844259769749</c:v>
                </c:pt>
                <c:pt idx="53">
                  <c:v>180.5445069456145</c:v>
                </c:pt>
                <c:pt idx="54">
                  <c:v>176.33557568774194</c:v>
                </c:pt>
                <c:pt idx="55">
                  <c:v>172.07293090531385</c:v>
                </c:pt>
                <c:pt idx="56">
                  <c:v>167.75787104122404</c:v>
                </c:pt>
                <c:pt idx="57">
                  <c:v>163.39171050450815</c:v>
                </c:pt>
                <c:pt idx="58">
                  <c:v>158.97577926996146</c:v>
                </c:pt>
                <c:pt idx="59">
                  <c:v>154.51142247301632</c:v>
                </c:pt>
                <c:pt idx="60">
                  <c:v>150.00000000000003</c:v>
                </c:pt>
                <c:pt idx="61">
                  <c:v>145.44288607390112</c:v>
                </c:pt>
                <c:pt idx="62">
                  <c:v>140.84146883576724</c:v>
                </c:pt>
                <c:pt idx="63">
                  <c:v>136.19714992186405</c:v>
                </c:pt>
                <c:pt idx="64">
                  <c:v>131.51134403672324</c:v>
                </c:pt>
                <c:pt idx="65">
                  <c:v>126.78547852220983</c:v>
                </c:pt>
                <c:pt idx="66">
                  <c:v>122.02099292274006</c:v>
                </c:pt>
                <c:pt idx="67">
                  <c:v>117.21933854678218</c:v>
                </c:pt>
                <c:pt idx="68">
                  <c:v>112.38197802477359</c:v>
                </c:pt>
                <c:pt idx="69">
                  <c:v>107.51038486359012</c:v>
                </c:pt>
                <c:pt idx="70">
                  <c:v>102.60604299770064</c:v>
                </c:pt>
                <c:pt idx="71">
                  <c:v>97.670446337147027</c:v>
                </c:pt>
                <c:pt idx="72">
                  <c:v>92.705098312484239</c:v>
                </c:pt>
                <c:pt idx="73">
                  <c:v>87.711511416821025</c:v>
                </c:pt>
                <c:pt idx="74">
                  <c:v>82.691206745099748</c:v>
                </c:pt>
                <c:pt idx="75">
                  <c:v>77.645713530756225</c:v>
                </c:pt>
                <c:pt idx="76">
                  <c:v>72.576568679900376</c:v>
                </c:pt>
                <c:pt idx="77">
                  <c:v>67.485316303159479</c:v>
                </c:pt>
                <c:pt idx="78">
                  <c:v>62.373507245327836</c:v>
                </c:pt>
                <c:pt idx="79">
                  <c:v>57.242698612963473</c:v>
                </c:pt>
                <c:pt idx="80">
                  <c:v>52.094453300079124</c:v>
                </c:pt>
                <c:pt idx="81">
                  <c:v>46.930339512069274</c:v>
                </c:pt>
                <c:pt idx="82">
                  <c:v>41.751930288019707</c:v>
                </c:pt>
                <c:pt idx="83">
                  <c:v>36.560803021544245</c:v>
                </c:pt>
                <c:pt idx="84">
                  <c:v>31.358538980296036</c:v>
                </c:pt>
                <c:pt idx="85">
                  <c:v>26.146722824297441</c:v>
                </c:pt>
                <c:pt idx="86">
                  <c:v>20.926942123237637</c:v>
                </c:pt>
                <c:pt idx="87">
                  <c:v>15.700786872883191</c:v>
                </c:pt>
                <c:pt idx="88">
                  <c:v>10.469849010750323</c:v>
                </c:pt>
                <c:pt idx="89">
                  <c:v>5.2357219311850125</c:v>
                </c:pt>
                <c:pt idx="90">
                  <c:v>1.83772268236293E-14</c:v>
                </c:pt>
                <c:pt idx="91">
                  <c:v>-5.2357219311850427</c:v>
                </c:pt>
                <c:pt idx="92">
                  <c:v>-10.46984901075022</c:v>
                </c:pt>
                <c:pt idx="93">
                  <c:v>-15.700786872883086</c:v>
                </c:pt>
                <c:pt idx="94">
                  <c:v>-20.926942123237598</c:v>
                </c:pt>
                <c:pt idx="95">
                  <c:v>-26.14672282429747</c:v>
                </c:pt>
                <c:pt idx="96">
                  <c:v>-31.358538980296</c:v>
                </c:pt>
                <c:pt idx="97">
                  <c:v>-36.56080302154421</c:v>
                </c:pt>
                <c:pt idx="98">
                  <c:v>-41.751930288019608</c:v>
                </c:pt>
                <c:pt idx="99">
                  <c:v>-46.93033951206931</c:v>
                </c:pt>
                <c:pt idx="100">
                  <c:v>-52.094453300079088</c:v>
                </c:pt>
                <c:pt idx="101">
                  <c:v>-57.242698612963444</c:v>
                </c:pt>
                <c:pt idx="102">
                  <c:v>-62.373507245327737</c:v>
                </c:pt>
                <c:pt idx="103">
                  <c:v>-67.485316303159436</c:v>
                </c:pt>
                <c:pt idx="104">
                  <c:v>-72.576568679900333</c:v>
                </c:pt>
                <c:pt idx="105">
                  <c:v>-77.645713530756254</c:v>
                </c:pt>
                <c:pt idx="106">
                  <c:v>-82.69120674509972</c:v>
                </c:pt>
                <c:pt idx="107">
                  <c:v>-87.711511416820997</c:v>
                </c:pt>
                <c:pt idx="108">
                  <c:v>-92.705098312484196</c:v>
                </c:pt>
                <c:pt idx="109">
                  <c:v>-97.670446337146927</c:v>
                </c:pt>
                <c:pt idx="110">
                  <c:v>-102.60604299770061</c:v>
                </c:pt>
                <c:pt idx="111">
                  <c:v>-107.51038486359008</c:v>
                </c:pt>
                <c:pt idx="112">
                  <c:v>-112.38197802477362</c:v>
                </c:pt>
                <c:pt idx="113">
                  <c:v>-117.21933854678208</c:v>
                </c:pt>
                <c:pt idx="114">
                  <c:v>-122.02099292274001</c:v>
                </c:pt>
                <c:pt idx="115">
                  <c:v>-126.7854785222098</c:v>
                </c:pt>
                <c:pt idx="116">
                  <c:v>-131.51134403672324</c:v>
                </c:pt>
                <c:pt idx="117">
                  <c:v>-136.197149921864</c:v>
                </c:pt>
                <c:pt idx="118">
                  <c:v>-140.84146883576716</c:v>
                </c:pt>
                <c:pt idx="119">
                  <c:v>-145.44288607390109</c:v>
                </c:pt>
                <c:pt idx="120">
                  <c:v>-149.99999999999994</c:v>
                </c:pt>
                <c:pt idx="121">
                  <c:v>-154.51142247301627</c:v>
                </c:pt>
                <c:pt idx="122">
                  <c:v>-158.97577926996144</c:v>
                </c:pt>
                <c:pt idx="123">
                  <c:v>-163.39171050450813</c:v>
                </c:pt>
                <c:pt idx="124">
                  <c:v>-167.75787104122401</c:v>
                </c:pt>
                <c:pt idx="125">
                  <c:v>-172.07293090531374</c:v>
                </c:pt>
                <c:pt idx="126">
                  <c:v>-176.33557568774191</c:v>
                </c:pt>
                <c:pt idx="127">
                  <c:v>-180.5445069456145</c:v>
                </c:pt>
                <c:pt idx="128">
                  <c:v>-184.69844259769749</c:v>
                </c:pt>
                <c:pt idx="129">
                  <c:v>-188.79611731495118</c:v>
                </c:pt>
                <c:pt idx="130">
                  <c:v>-192.83628290596181</c:v>
                </c:pt>
                <c:pt idx="131">
                  <c:v>-196.81770869715226</c:v>
                </c:pt>
                <c:pt idx="132">
                  <c:v>-200.73918190765747</c:v>
                </c:pt>
                <c:pt idx="133">
                  <c:v>-204.5995080187495</c:v>
                </c:pt>
                <c:pt idx="134">
                  <c:v>-208.3975111376991</c:v>
                </c:pt>
                <c:pt idx="135">
                  <c:v>-212.13203435596424</c:v>
                </c:pt>
                <c:pt idx="136">
                  <c:v>-215.80194010159536</c:v>
                </c:pt>
                <c:pt idx="137">
                  <c:v>-219.40611048575113</c:v>
                </c:pt>
                <c:pt idx="138">
                  <c:v>-222.94344764321821</c:v>
                </c:pt>
                <c:pt idx="139">
                  <c:v>-226.41287406683159</c:v>
                </c:pt>
                <c:pt idx="140">
                  <c:v>-229.81333293569338</c:v>
                </c:pt>
                <c:pt idx="141">
                  <c:v>-233.14378843709122</c:v>
                </c:pt>
                <c:pt idx="142">
                  <c:v>-236.40322608201657</c:v>
                </c:pt>
                <c:pt idx="143">
                  <c:v>-239.59065301418789</c:v>
                </c:pt>
                <c:pt idx="144">
                  <c:v>-242.70509831248421</c:v>
                </c:pt>
                <c:pt idx="145">
                  <c:v>-245.74561328669748</c:v>
                </c:pt>
                <c:pt idx="146">
                  <c:v>-248.71127176651248</c:v>
                </c:pt>
                <c:pt idx="147">
                  <c:v>-251.60117038362725</c:v>
                </c:pt>
                <c:pt idx="148">
                  <c:v>-254.41442884692779</c:v>
                </c:pt>
                <c:pt idx="149">
                  <c:v>-257.15019021063364</c:v>
                </c:pt>
                <c:pt idx="150">
                  <c:v>-259.8076211353316</c:v>
                </c:pt>
                <c:pt idx="151">
                  <c:v>-262.38591214181872</c:v>
                </c:pt>
                <c:pt idx="152">
                  <c:v>-264.88427785767806</c:v>
                </c:pt>
                <c:pt idx="153">
                  <c:v>-267.30195725651032</c:v>
                </c:pt>
                <c:pt idx="154">
                  <c:v>-269.63821388975009</c:v>
                </c:pt>
                <c:pt idx="155">
                  <c:v>-271.89233611099496</c:v>
                </c:pt>
                <c:pt idx="156">
                  <c:v>-274.06363729278024</c:v>
                </c:pt>
                <c:pt idx="157">
                  <c:v>-276.15145603573205</c:v>
                </c:pt>
                <c:pt idx="158">
                  <c:v>-278.1551563700362</c:v>
                </c:pt>
                <c:pt idx="159">
                  <c:v>-280.07412794916053</c:v>
                </c:pt>
                <c:pt idx="160">
                  <c:v>-281.90778623577251</c:v>
                </c:pt>
                <c:pt idx="161">
                  <c:v>-283.655572679795</c:v>
                </c:pt>
                <c:pt idx="162">
                  <c:v>-285.31695488854604</c:v>
                </c:pt>
                <c:pt idx="163">
                  <c:v>-286.89142678891062</c:v>
                </c:pt>
                <c:pt idx="164">
                  <c:v>-288.37850878149561</c:v>
                </c:pt>
                <c:pt idx="165">
                  <c:v>-289.77774788672048</c:v>
                </c:pt>
                <c:pt idx="166">
                  <c:v>-291.08871788279896</c:v>
                </c:pt>
                <c:pt idx="167">
                  <c:v>-292.31101943557059</c:v>
                </c:pt>
                <c:pt idx="168">
                  <c:v>-293.44428022014171</c:v>
                </c:pt>
                <c:pt idx="169">
                  <c:v>-294.48815503429921</c:v>
                </c:pt>
                <c:pt idx="170">
                  <c:v>-295.44232590366238</c:v>
                </c:pt>
                <c:pt idx="171">
                  <c:v>-296.30650217854128</c:v>
                </c:pt>
                <c:pt idx="172">
                  <c:v>-297.08042062247108</c:v>
                </c:pt>
                <c:pt idx="173">
                  <c:v>-297.76384549239657</c:v>
                </c:pt>
                <c:pt idx="174">
                  <c:v>-298.35656861048199</c:v>
                </c:pt>
                <c:pt idx="175">
                  <c:v>-298.85840942752367</c:v>
                </c:pt>
                <c:pt idx="176">
                  <c:v>-299.26921507794725</c:v>
                </c:pt>
                <c:pt idx="177">
                  <c:v>-299.58886042637215</c:v>
                </c:pt>
                <c:pt idx="178">
                  <c:v>-299.81724810572871</c:v>
                </c:pt>
                <c:pt idx="179">
                  <c:v>-299.95430854691739</c:v>
                </c:pt>
                <c:pt idx="180">
                  <c:v>-300</c:v>
                </c:pt>
                <c:pt idx="181">
                  <c:v>-299.95430854691739</c:v>
                </c:pt>
                <c:pt idx="182">
                  <c:v>-299.81724810572871</c:v>
                </c:pt>
                <c:pt idx="183">
                  <c:v>-299.58886042637215</c:v>
                </c:pt>
                <c:pt idx="184">
                  <c:v>-299.26921507794731</c:v>
                </c:pt>
                <c:pt idx="185">
                  <c:v>-298.85840942752367</c:v>
                </c:pt>
                <c:pt idx="186">
                  <c:v>-298.35656861048204</c:v>
                </c:pt>
                <c:pt idx="187">
                  <c:v>-297.76384549239657</c:v>
                </c:pt>
                <c:pt idx="188">
                  <c:v>-297.08042062247108</c:v>
                </c:pt>
                <c:pt idx="189">
                  <c:v>-296.30650217854134</c:v>
                </c:pt>
                <c:pt idx="190">
                  <c:v>-295.44232590366238</c:v>
                </c:pt>
                <c:pt idx="191">
                  <c:v>-294.48815503429921</c:v>
                </c:pt>
                <c:pt idx="192">
                  <c:v>-293.44428022014171</c:v>
                </c:pt>
                <c:pt idx="193">
                  <c:v>-292.31101943557059</c:v>
                </c:pt>
                <c:pt idx="194">
                  <c:v>-291.08871788279896</c:v>
                </c:pt>
                <c:pt idx="195">
                  <c:v>-289.77774788672053</c:v>
                </c:pt>
                <c:pt idx="196">
                  <c:v>-288.37850878149567</c:v>
                </c:pt>
                <c:pt idx="197">
                  <c:v>-286.89142678891068</c:v>
                </c:pt>
                <c:pt idx="198">
                  <c:v>-285.31695488854604</c:v>
                </c:pt>
                <c:pt idx="199">
                  <c:v>-283.655572679795</c:v>
                </c:pt>
                <c:pt idx="200">
                  <c:v>-281.90778623577251</c:v>
                </c:pt>
                <c:pt idx="201">
                  <c:v>-280.07412794916053</c:v>
                </c:pt>
                <c:pt idx="202">
                  <c:v>-278.15515637003625</c:v>
                </c:pt>
                <c:pt idx="203">
                  <c:v>-276.15145603573211</c:v>
                </c:pt>
                <c:pt idx="204">
                  <c:v>-274.0636372927803</c:v>
                </c:pt>
                <c:pt idx="205">
                  <c:v>-271.89233611099502</c:v>
                </c:pt>
                <c:pt idx="206">
                  <c:v>-269.63821388975015</c:v>
                </c:pt>
                <c:pt idx="207">
                  <c:v>-267.30195725651043</c:v>
                </c:pt>
                <c:pt idx="208">
                  <c:v>-264.88427785767806</c:v>
                </c:pt>
                <c:pt idx="209">
                  <c:v>-262.38591214181878</c:v>
                </c:pt>
                <c:pt idx="210">
                  <c:v>-259.8076211353316</c:v>
                </c:pt>
                <c:pt idx="211">
                  <c:v>-257.1501902106337</c:v>
                </c:pt>
                <c:pt idx="212">
                  <c:v>-254.41442884692782</c:v>
                </c:pt>
                <c:pt idx="213">
                  <c:v>-251.60117038362722</c:v>
                </c:pt>
                <c:pt idx="214">
                  <c:v>-248.71127176651257</c:v>
                </c:pt>
                <c:pt idx="215">
                  <c:v>-245.74561328669762</c:v>
                </c:pt>
                <c:pt idx="216">
                  <c:v>-242.70509831248427</c:v>
                </c:pt>
                <c:pt idx="217">
                  <c:v>-239.59065301418792</c:v>
                </c:pt>
                <c:pt idx="218">
                  <c:v>-236.40322608201666</c:v>
                </c:pt>
                <c:pt idx="219">
                  <c:v>-233.14378843709125</c:v>
                </c:pt>
                <c:pt idx="220">
                  <c:v>-229.81333293569341</c:v>
                </c:pt>
                <c:pt idx="221">
                  <c:v>-226.41287406683156</c:v>
                </c:pt>
                <c:pt idx="222">
                  <c:v>-222.94344764321826</c:v>
                </c:pt>
                <c:pt idx="223">
                  <c:v>-219.40611048575119</c:v>
                </c:pt>
                <c:pt idx="224">
                  <c:v>-215.80194010159533</c:v>
                </c:pt>
                <c:pt idx="225">
                  <c:v>-212.13203435596429</c:v>
                </c:pt>
                <c:pt idx="226">
                  <c:v>-208.39751113769927</c:v>
                </c:pt>
                <c:pt idx="227">
                  <c:v>-204.59950801874967</c:v>
                </c:pt>
                <c:pt idx="228">
                  <c:v>-200.73918190765752</c:v>
                </c:pt>
                <c:pt idx="229">
                  <c:v>-196.81770869715228</c:v>
                </c:pt>
                <c:pt idx="230">
                  <c:v>-192.83628290596184</c:v>
                </c:pt>
                <c:pt idx="231">
                  <c:v>-188.79611731495115</c:v>
                </c:pt>
                <c:pt idx="232">
                  <c:v>-184.69844259769741</c:v>
                </c:pt>
                <c:pt idx="233">
                  <c:v>-180.54450694561447</c:v>
                </c:pt>
                <c:pt idx="234">
                  <c:v>-176.33557568774197</c:v>
                </c:pt>
                <c:pt idx="235">
                  <c:v>-172.07293090531391</c:v>
                </c:pt>
                <c:pt idx="236">
                  <c:v>-167.75787104122418</c:v>
                </c:pt>
                <c:pt idx="237">
                  <c:v>-163.3917105045081</c:v>
                </c:pt>
                <c:pt idx="238">
                  <c:v>-158.97577926996149</c:v>
                </c:pt>
                <c:pt idx="239">
                  <c:v>-154.51142247301635</c:v>
                </c:pt>
                <c:pt idx="240">
                  <c:v>-150.00000000000014</c:v>
                </c:pt>
                <c:pt idx="241">
                  <c:v>-145.44288607390106</c:v>
                </c:pt>
                <c:pt idx="242">
                  <c:v>-140.84146883576722</c:v>
                </c:pt>
                <c:pt idx="243">
                  <c:v>-136.19714992186408</c:v>
                </c:pt>
                <c:pt idx="244">
                  <c:v>-131.51134403672333</c:v>
                </c:pt>
                <c:pt idx="245">
                  <c:v>-126.78547852220998</c:v>
                </c:pt>
                <c:pt idx="246">
                  <c:v>-122.02099292274004</c:v>
                </c:pt>
                <c:pt idx="247">
                  <c:v>-117.21933854678215</c:v>
                </c:pt>
                <c:pt idx="248">
                  <c:v>-112.38197802477369</c:v>
                </c:pt>
                <c:pt idx="249">
                  <c:v>-107.51038486359022</c:v>
                </c:pt>
                <c:pt idx="250">
                  <c:v>-102.60604299770081</c:v>
                </c:pt>
                <c:pt idx="251">
                  <c:v>-97.670446337146998</c:v>
                </c:pt>
                <c:pt idx="252">
                  <c:v>-92.705098312484267</c:v>
                </c:pt>
                <c:pt idx="253">
                  <c:v>-87.711511416821125</c:v>
                </c:pt>
                <c:pt idx="254">
                  <c:v>-82.691206745099663</c:v>
                </c:pt>
                <c:pt idx="255">
                  <c:v>-77.645713530756183</c:v>
                </c:pt>
                <c:pt idx="256">
                  <c:v>-72.576568679900333</c:v>
                </c:pt>
                <c:pt idx="257">
                  <c:v>-67.485316303159578</c:v>
                </c:pt>
                <c:pt idx="258">
                  <c:v>-62.373507245327936</c:v>
                </c:pt>
                <c:pt idx="259">
                  <c:v>-57.242698612963643</c:v>
                </c:pt>
                <c:pt idx="260">
                  <c:v>-52.094453300079103</c:v>
                </c:pt>
                <c:pt idx="261">
                  <c:v>-46.93033951206931</c:v>
                </c:pt>
                <c:pt idx="262">
                  <c:v>-41.75193028801948</c:v>
                </c:pt>
                <c:pt idx="263">
                  <c:v>-36.560803021544153</c:v>
                </c:pt>
                <c:pt idx="264">
                  <c:v>-31.358538980296007</c:v>
                </c:pt>
                <c:pt idx="265">
                  <c:v>-26.146722824297473</c:v>
                </c:pt>
                <c:pt idx="266">
                  <c:v>-20.926942123237673</c:v>
                </c:pt>
                <c:pt idx="267">
                  <c:v>-15.700786872883292</c:v>
                </c:pt>
                <c:pt idx="268">
                  <c:v>-10.469849010750496</c:v>
                </c:pt>
                <c:pt idx="269">
                  <c:v>-5.2357219311850489</c:v>
                </c:pt>
                <c:pt idx="270">
                  <c:v>-5.51316804708879E-14</c:v>
                </c:pt>
                <c:pt idx="271">
                  <c:v>5.2357219311849388</c:v>
                </c:pt>
                <c:pt idx="272">
                  <c:v>10.469849010750384</c:v>
                </c:pt>
                <c:pt idx="273">
                  <c:v>15.700786872883183</c:v>
                </c:pt>
                <c:pt idx="274">
                  <c:v>20.926942123237566</c:v>
                </c:pt>
                <c:pt idx="275">
                  <c:v>26.146722824297367</c:v>
                </c:pt>
                <c:pt idx="276">
                  <c:v>31.358538980295897</c:v>
                </c:pt>
                <c:pt idx="277">
                  <c:v>36.560803021544302</c:v>
                </c:pt>
                <c:pt idx="278">
                  <c:v>41.751930288019636</c:v>
                </c:pt>
                <c:pt idx="279">
                  <c:v>46.930339512069203</c:v>
                </c:pt>
                <c:pt idx="280">
                  <c:v>52.094453300078989</c:v>
                </c:pt>
                <c:pt idx="281">
                  <c:v>57.242698612963274</c:v>
                </c:pt>
                <c:pt idx="282">
                  <c:v>62.373507245327566</c:v>
                </c:pt>
                <c:pt idx="283">
                  <c:v>67.485316303159479</c:v>
                </c:pt>
                <c:pt idx="284">
                  <c:v>72.576568679900234</c:v>
                </c:pt>
                <c:pt idx="285">
                  <c:v>77.645713530756339</c:v>
                </c:pt>
                <c:pt idx="286">
                  <c:v>82.691206745099819</c:v>
                </c:pt>
                <c:pt idx="287">
                  <c:v>87.711511416821011</c:v>
                </c:pt>
                <c:pt idx="288">
                  <c:v>92.705098312484168</c:v>
                </c:pt>
                <c:pt idx="289">
                  <c:v>97.670446337146899</c:v>
                </c:pt>
                <c:pt idx="290">
                  <c:v>102.60604299770044</c:v>
                </c:pt>
                <c:pt idx="291">
                  <c:v>107.51038486358986</c:v>
                </c:pt>
                <c:pt idx="292">
                  <c:v>112.38197802477359</c:v>
                </c:pt>
                <c:pt idx="293">
                  <c:v>117.21933854678205</c:v>
                </c:pt>
                <c:pt idx="294">
                  <c:v>122.02099292274016</c:v>
                </c:pt>
                <c:pt idx="295">
                  <c:v>126.78547852220989</c:v>
                </c:pt>
                <c:pt idx="296">
                  <c:v>131.51134403672322</c:v>
                </c:pt>
                <c:pt idx="297">
                  <c:v>136.197149921864</c:v>
                </c:pt>
                <c:pt idx="298">
                  <c:v>140.84146883576713</c:v>
                </c:pt>
                <c:pt idx="299">
                  <c:v>145.44288607390095</c:v>
                </c:pt>
                <c:pt idx="300">
                  <c:v>150.00000000000003</c:v>
                </c:pt>
                <c:pt idx="301">
                  <c:v>154.51142247301624</c:v>
                </c:pt>
                <c:pt idx="302">
                  <c:v>158.97577926996141</c:v>
                </c:pt>
                <c:pt idx="303">
                  <c:v>163.39171050450798</c:v>
                </c:pt>
                <c:pt idx="304">
                  <c:v>167.75787104122386</c:v>
                </c:pt>
                <c:pt idx="305">
                  <c:v>172.07293090531383</c:v>
                </c:pt>
                <c:pt idx="306">
                  <c:v>176.33557568774188</c:v>
                </c:pt>
                <c:pt idx="307">
                  <c:v>180.54450694561439</c:v>
                </c:pt>
                <c:pt idx="308">
                  <c:v>184.69844259769755</c:v>
                </c:pt>
                <c:pt idx="309">
                  <c:v>188.79611731495126</c:v>
                </c:pt>
                <c:pt idx="310">
                  <c:v>192.83628290596178</c:v>
                </c:pt>
                <c:pt idx="311">
                  <c:v>196.81770869715211</c:v>
                </c:pt>
                <c:pt idx="312">
                  <c:v>200.73918190765733</c:v>
                </c:pt>
                <c:pt idx="313">
                  <c:v>204.59950801874942</c:v>
                </c:pt>
                <c:pt idx="314">
                  <c:v>208.39751113769898</c:v>
                </c:pt>
                <c:pt idx="315">
                  <c:v>212.13203435596421</c:v>
                </c:pt>
                <c:pt idx="316">
                  <c:v>215.80194010159525</c:v>
                </c:pt>
                <c:pt idx="317">
                  <c:v>219.40611048575121</c:v>
                </c:pt>
                <c:pt idx="318">
                  <c:v>222.94344764321826</c:v>
                </c:pt>
                <c:pt idx="319">
                  <c:v>226.41287406683156</c:v>
                </c:pt>
                <c:pt idx="320">
                  <c:v>229.81333293569332</c:v>
                </c:pt>
                <c:pt idx="321">
                  <c:v>233.14378843709116</c:v>
                </c:pt>
                <c:pt idx="322">
                  <c:v>236.40322608201646</c:v>
                </c:pt>
                <c:pt idx="323">
                  <c:v>239.59065301418784</c:v>
                </c:pt>
                <c:pt idx="324">
                  <c:v>242.70509831248421</c:v>
                </c:pt>
                <c:pt idx="325">
                  <c:v>245.74561328669748</c:v>
                </c:pt>
                <c:pt idx="326">
                  <c:v>248.71127176651243</c:v>
                </c:pt>
                <c:pt idx="327">
                  <c:v>251.60117038362722</c:v>
                </c:pt>
                <c:pt idx="328">
                  <c:v>254.41442884692762</c:v>
                </c:pt>
                <c:pt idx="329">
                  <c:v>257.15019021063364</c:v>
                </c:pt>
                <c:pt idx="330">
                  <c:v>259.80762113533149</c:v>
                </c:pt>
                <c:pt idx="331">
                  <c:v>262.38591214181878</c:v>
                </c:pt>
                <c:pt idx="332">
                  <c:v>264.88427785767806</c:v>
                </c:pt>
                <c:pt idx="333">
                  <c:v>267.30195725651032</c:v>
                </c:pt>
                <c:pt idx="334">
                  <c:v>269.63821388975015</c:v>
                </c:pt>
                <c:pt idx="335">
                  <c:v>271.8923361109949</c:v>
                </c:pt>
                <c:pt idx="336">
                  <c:v>274.0636372927803</c:v>
                </c:pt>
                <c:pt idx="337">
                  <c:v>276.151456035732</c:v>
                </c:pt>
                <c:pt idx="338">
                  <c:v>278.1551563700362</c:v>
                </c:pt>
                <c:pt idx="339">
                  <c:v>280.07412794916047</c:v>
                </c:pt>
                <c:pt idx="340">
                  <c:v>281.90778623577251</c:v>
                </c:pt>
                <c:pt idx="341">
                  <c:v>283.65557267979494</c:v>
                </c:pt>
                <c:pt idx="342">
                  <c:v>285.31695488854604</c:v>
                </c:pt>
                <c:pt idx="343">
                  <c:v>286.89142678891068</c:v>
                </c:pt>
                <c:pt idx="344">
                  <c:v>288.37850878149561</c:v>
                </c:pt>
                <c:pt idx="345">
                  <c:v>289.77774788672048</c:v>
                </c:pt>
                <c:pt idx="346">
                  <c:v>291.08871788279896</c:v>
                </c:pt>
                <c:pt idx="347">
                  <c:v>292.31101943557053</c:v>
                </c:pt>
                <c:pt idx="348">
                  <c:v>293.44428022014165</c:v>
                </c:pt>
                <c:pt idx="349">
                  <c:v>294.48815503429921</c:v>
                </c:pt>
                <c:pt idx="350">
                  <c:v>295.44232590366238</c:v>
                </c:pt>
                <c:pt idx="351">
                  <c:v>296.30650217854128</c:v>
                </c:pt>
                <c:pt idx="352">
                  <c:v>297.08042062247108</c:v>
                </c:pt>
                <c:pt idx="353">
                  <c:v>297.76384549239657</c:v>
                </c:pt>
                <c:pt idx="354">
                  <c:v>298.35656861048199</c:v>
                </c:pt>
                <c:pt idx="355">
                  <c:v>298.85840942752367</c:v>
                </c:pt>
                <c:pt idx="356">
                  <c:v>299.26921507794731</c:v>
                </c:pt>
                <c:pt idx="357">
                  <c:v>299.58886042637215</c:v>
                </c:pt>
                <c:pt idx="358">
                  <c:v>299.81724810572871</c:v>
                </c:pt>
                <c:pt idx="359">
                  <c:v>299.95430854691739</c:v>
                </c:pt>
                <c:pt idx="360">
                  <c:v>300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8D8-4176-9017-F4D9D0DE5634}"/>
            </c:ext>
          </c:extLst>
        </c:ser>
        <c:ser>
          <c:idx val="2"/>
          <c:order val="2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Aufsicht!$X$10:$X$370</c:f>
              <c:numCache>
                <c:formatCode>General</c:formatCode>
                <c:ptCount val="361"/>
                <c:pt idx="0">
                  <c:v>-148</c:v>
                </c:pt>
                <c:pt idx="1">
                  <c:v>-142.76427806881495</c:v>
                </c:pt>
                <c:pt idx="2">
                  <c:v>-137.53015098924971</c:v>
                </c:pt>
                <c:pt idx="3">
                  <c:v>-132.29921312711684</c:v>
                </c:pt>
                <c:pt idx="4">
                  <c:v>-127.07305787676241</c:v>
                </c:pt>
                <c:pt idx="5">
                  <c:v>-121.85327717570254</c:v>
                </c:pt>
                <c:pt idx="6">
                  <c:v>-116.64146101970397</c:v>
                </c:pt>
                <c:pt idx="7">
                  <c:v>-111.43919697845575</c:v>
                </c:pt>
                <c:pt idx="8">
                  <c:v>-106.24806971198038</c:v>
                </c:pt>
                <c:pt idx="9">
                  <c:v>-101.06966048793075</c:v>
                </c:pt>
                <c:pt idx="10">
                  <c:v>-95.905546699920905</c:v>
                </c:pt>
                <c:pt idx="11">
                  <c:v>-90.757301387036563</c:v>
                </c:pt>
                <c:pt idx="12">
                  <c:v>-85.626492754672199</c:v>
                </c:pt>
                <c:pt idx="13">
                  <c:v>-80.514683696840493</c:v>
                </c:pt>
                <c:pt idx="14">
                  <c:v>-75.423431320099681</c:v>
                </c:pt>
                <c:pt idx="15">
                  <c:v>-70.354286469243775</c:v>
                </c:pt>
                <c:pt idx="16">
                  <c:v>-65.308793254900252</c:v>
                </c:pt>
                <c:pt idx="17">
                  <c:v>-60.288488583178975</c:v>
                </c:pt>
                <c:pt idx="18">
                  <c:v>-55.294901687515775</c:v>
                </c:pt>
                <c:pt idx="19">
                  <c:v>-50.329553662853002</c:v>
                </c:pt>
                <c:pt idx="20">
                  <c:v>-45.393957002299388</c:v>
                </c:pt>
                <c:pt idx="21">
                  <c:v>-40.489615136409924</c:v>
                </c:pt>
                <c:pt idx="22">
                  <c:v>-35.618021975226398</c:v>
                </c:pt>
                <c:pt idx="23">
                  <c:v>-30.780661453217888</c:v>
                </c:pt>
                <c:pt idx="24">
                  <c:v>-25.979007077259951</c:v>
                </c:pt>
                <c:pt idx="25">
                  <c:v>-21.214521477790171</c:v>
                </c:pt>
                <c:pt idx="26">
                  <c:v>-16.488655963276784</c:v>
                </c:pt>
                <c:pt idx="27">
                  <c:v>-11.802850078135975</c:v>
                </c:pt>
                <c:pt idx="28">
                  <c:v>-7.1585311642327554</c:v>
                </c:pt>
                <c:pt idx="29">
                  <c:v>-2.5571139260988787</c:v>
                </c:pt>
                <c:pt idx="30">
                  <c:v>1.9999999999999716</c:v>
                </c:pt>
                <c:pt idx="31">
                  <c:v>6.5114224730162391</c:v>
                </c:pt>
                <c:pt idx="32">
                  <c:v>10.975779269961464</c:v>
                </c:pt>
                <c:pt idx="33">
                  <c:v>15.391710504508126</c:v>
                </c:pt>
                <c:pt idx="34">
                  <c:v>19.757871041224064</c:v>
                </c:pt>
                <c:pt idx="35">
                  <c:v>24.072930905313825</c:v>
                </c:pt>
                <c:pt idx="36">
                  <c:v>28.335575687741937</c:v>
                </c:pt>
                <c:pt idx="37">
                  <c:v>32.544506945614472</c:v>
                </c:pt>
                <c:pt idx="38">
                  <c:v>36.698442597697465</c:v>
                </c:pt>
                <c:pt idx="39">
                  <c:v>40.796117314951204</c:v>
                </c:pt>
                <c:pt idx="40">
                  <c:v>44.836282905961781</c:v>
                </c:pt>
                <c:pt idx="41">
                  <c:v>48.817708697152142</c:v>
                </c:pt>
                <c:pt idx="42">
                  <c:v>52.739181907657468</c:v>
                </c:pt>
                <c:pt idx="43">
                  <c:v>56.599508018749532</c:v>
                </c:pt>
                <c:pt idx="44">
                  <c:v>60.397511137699183</c:v>
                </c:pt>
                <c:pt idx="45">
                  <c:v>64.132034355964237</c:v>
                </c:pt>
                <c:pt idx="46">
                  <c:v>67.801940101595335</c:v>
                </c:pt>
                <c:pt idx="47">
                  <c:v>71.406110485751128</c:v>
                </c:pt>
                <c:pt idx="48">
                  <c:v>74.943447643218235</c:v>
                </c:pt>
                <c:pt idx="49">
                  <c:v>78.412874066831591</c:v>
                </c:pt>
                <c:pt idx="50">
                  <c:v>81.81333293569341</c:v>
                </c:pt>
                <c:pt idx="51">
                  <c:v>85.143788437091246</c:v>
                </c:pt>
                <c:pt idx="52">
                  <c:v>88.403226082016602</c:v>
                </c:pt>
                <c:pt idx="53">
                  <c:v>91.590653014187836</c:v>
                </c:pt>
                <c:pt idx="54">
                  <c:v>94.705098312484239</c:v>
                </c:pt>
                <c:pt idx="55">
                  <c:v>97.745613286697534</c:v>
                </c:pt>
                <c:pt idx="56">
                  <c:v>100.71127176651251</c:v>
                </c:pt>
                <c:pt idx="57">
                  <c:v>103.60117038362719</c:v>
                </c:pt>
                <c:pt idx="58">
                  <c:v>106.41442884692779</c:v>
                </c:pt>
                <c:pt idx="59">
                  <c:v>109.15019021063364</c:v>
                </c:pt>
                <c:pt idx="60">
                  <c:v>111.8076211353316</c:v>
                </c:pt>
                <c:pt idx="61">
                  <c:v>114.38591214181872</c:v>
                </c:pt>
                <c:pt idx="62">
                  <c:v>116.88427785767806</c:v>
                </c:pt>
                <c:pt idx="63">
                  <c:v>119.30195725651032</c:v>
                </c:pt>
                <c:pt idx="64">
                  <c:v>121.63821388975009</c:v>
                </c:pt>
                <c:pt idx="65">
                  <c:v>123.89233611099496</c:v>
                </c:pt>
                <c:pt idx="66">
                  <c:v>126.06363729278024</c:v>
                </c:pt>
                <c:pt idx="67">
                  <c:v>128.15145603573205</c:v>
                </c:pt>
                <c:pt idx="68">
                  <c:v>130.15515637003625</c:v>
                </c:pt>
                <c:pt idx="69">
                  <c:v>132.07412794916053</c:v>
                </c:pt>
                <c:pt idx="70">
                  <c:v>133.90778623577251</c:v>
                </c:pt>
                <c:pt idx="71">
                  <c:v>135.655572679795</c:v>
                </c:pt>
                <c:pt idx="72">
                  <c:v>137.31695488854604</c:v>
                </c:pt>
                <c:pt idx="73">
                  <c:v>138.89142678891062</c:v>
                </c:pt>
                <c:pt idx="74">
                  <c:v>140.37850878149567</c:v>
                </c:pt>
                <c:pt idx="75">
                  <c:v>141.77774788672048</c:v>
                </c:pt>
                <c:pt idx="76">
                  <c:v>143.08871788279896</c:v>
                </c:pt>
                <c:pt idx="77">
                  <c:v>144.31101943557059</c:v>
                </c:pt>
                <c:pt idx="78">
                  <c:v>145.44428022014165</c:v>
                </c:pt>
                <c:pt idx="79">
                  <c:v>146.48815503429921</c:v>
                </c:pt>
                <c:pt idx="80">
                  <c:v>147.44232590366238</c:v>
                </c:pt>
                <c:pt idx="81">
                  <c:v>148.30650217854134</c:v>
                </c:pt>
                <c:pt idx="82">
                  <c:v>149.08042062247108</c:v>
                </c:pt>
                <c:pt idx="83">
                  <c:v>149.76384549239657</c:v>
                </c:pt>
                <c:pt idx="84">
                  <c:v>150.35656861048199</c:v>
                </c:pt>
                <c:pt idx="85">
                  <c:v>150.85840942752367</c:v>
                </c:pt>
                <c:pt idx="86">
                  <c:v>151.26921507794725</c:v>
                </c:pt>
                <c:pt idx="87">
                  <c:v>151.58886042637215</c:v>
                </c:pt>
                <c:pt idx="88">
                  <c:v>151.81724810572871</c:v>
                </c:pt>
                <c:pt idx="89">
                  <c:v>151.95430854691739</c:v>
                </c:pt>
                <c:pt idx="90">
                  <c:v>152</c:v>
                </c:pt>
                <c:pt idx="91">
                  <c:v>151.95430854691739</c:v>
                </c:pt>
                <c:pt idx="92">
                  <c:v>151.81724810572871</c:v>
                </c:pt>
                <c:pt idx="93">
                  <c:v>151.58886042637215</c:v>
                </c:pt>
                <c:pt idx="94">
                  <c:v>151.26921507794725</c:v>
                </c:pt>
                <c:pt idx="95">
                  <c:v>150.85840942752367</c:v>
                </c:pt>
                <c:pt idx="96">
                  <c:v>150.35656861048204</c:v>
                </c:pt>
                <c:pt idx="97">
                  <c:v>149.76384549239663</c:v>
                </c:pt>
                <c:pt idx="98">
                  <c:v>149.08042062247108</c:v>
                </c:pt>
                <c:pt idx="99">
                  <c:v>148.30650217854128</c:v>
                </c:pt>
                <c:pt idx="100">
                  <c:v>147.44232590366238</c:v>
                </c:pt>
                <c:pt idx="101">
                  <c:v>146.48815503429921</c:v>
                </c:pt>
                <c:pt idx="102">
                  <c:v>145.44428022014171</c:v>
                </c:pt>
                <c:pt idx="103">
                  <c:v>144.31101943557059</c:v>
                </c:pt>
                <c:pt idx="104">
                  <c:v>143.08871788279896</c:v>
                </c:pt>
                <c:pt idx="105">
                  <c:v>141.77774788672048</c:v>
                </c:pt>
                <c:pt idx="106">
                  <c:v>140.37850878149567</c:v>
                </c:pt>
                <c:pt idx="107">
                  <c:v>138.89142678891068</c:v>
                </c:pt>
                <c:pt idx="108">
                  <c:v>137.31695488854609</c:v>
                </c:pt>
                <c:pt idx="109">
                  <c:v>135.65557267979506</c:v>
                </c:pt>
                <c:pt idx="110">
                  <c:v>133.90778623577251</c:v>
                </c:pt>
                <c:pt idx="111">
                  <c:v>132.07412794916053</c:v>
                </c:pt>
                <c:pt idx="112">
                  <c:v>130.15515637003625</c:v>
                </c:pt>
                <c:pt idx="113">
                  <c:v>128.15145603573211</c:v>
                </c:pt>
                <c:pt idx="114">
                  <c:v>126.0636372927803</c:v>
                </c:pt>
                <c:pt idx="115">
                  <c:v>123.89233611099502</c:v>
                </c:pt>
                <c:pt idx="116">
                  <c:v>121.63821388975009</c:v>
                </c:pt>
                <c:pt idx="117">
                  <c:v>119.30195725651038</c:v>
                </c:pt>
                <c:pt idx="118">
                  <c:v>116.88427785767811</c:v>
                </c:pt>
                <c:pt idx="119">
                  <c:v>114.38591214181878</c:v>
                </c:pt>
                <c:pt idx="120">
                  <c:v>111.8076211353316</c:v>
                </c:pt>
                <c:pt idx="121">
                  <c:v>109.1501902106337</c:v>
                </c:pt>
                <c:pt idx="122">
                  <c:v>106.41442884692782</c:v>
                </c:pt>
                <c:pt idx="123">
                  <c:v>103.60117038362719</c:v>
                </c:pt>
                <c:pt idx="124">
                  <c:v>100.71127176651251</c:v>
                </c:pt>
                <c:pt idx="125">
                  <c:v>97.745613286697619</c:v>
                </c:pt>
                <c:pt idx="126">
                  <c:v>94.705098312484239</c:v>
                </c:pt>
                <c:pt idx="127">
                  <c:v>91.590653014187808</c:v>
                </c:pt>
                <c:pt idx="128">
                  <c:v>88.403226082016602</c:v>
                </c:pt>
                <c:pt idx="129">
                  <c:v>85.143788437091303</c:v>
                </c:pt>
                <c:pt idx="130">
                  <c:v>81.81333293569341</c:v>
                </c:pt>
                <c:pt idx="131">
                  <c:v>78.412874066831534</c:v>
                </c:pt>
                <c:pt idx="132">
                  <c:v>74.943447643218263</c:v>
                </c:pt>
                <c:pt idx="133">
                  <c:v>71.406110485751185</c:v>
                </c:pt>
                <c:pt idx="134">
                  <c:v>67.80194010159542</c:v>
                </c:pt>
                <c:pt idx="135">
                  <c:v>64.132034355964265</c:v>
                </c:pt>
                <c:pt idx="136">
                  <c:v>60.397511137699155</c:v>
                </c:pt>
                <c:pt idx="137">
                  <c:v>56.599508018749589</c:v>
                </c:pt>
                <c:pt idx="138">
                  <c:v>52.739181907657496</c:v>
                </c:pt>
                <c:pt idx="139">
                  <c:v>48.81770869715217</c:v>
                </c:pt>
                <c:pt idx="140">
                  <c:v>44.836282905961838</c:v>
                </c:pt>
                <c:pt idx="141">
                  <c:v>40.796117314951317</c:v>
                </c:pt>
                <c:pt idx="142">
                  <c:v>36.698442597697522</c:v>
                </c:pt>
                <c:pt idx="143">
                  <c:v>32.544506945614444</c:v>
                </c:pt>
                <c:pt idx="144">
                  <c:v>28.335575687741965</c:v>
                </c:pt>
                <c:pt idx="145">
                  <c:v>24.07293090531391</c:v>
                </c:pt>
                <c:pt idx="146">
                  <c:v>19.757871041224064</c:v>
                </c:pt>
                <c:pt idx="147">
                  <c:v>15.391710504508097</c:v>
                </c:pt>
                <c:pt idx="148">
                  <c:v>10.975779269961464</c:v>
                </c:pt>
                <c:pt idx="149">
                  <c:v>6.5114224730163244</c:v>
                </c:pt>
                <c:pt idx="150">
                  <c:v>1.9999999999999716</c:v>
                </c:pt>
                <c:pt idx="151">
                  <c:v>-2.5571139260988502</c:v>
                </c:pt>
                <c:pt idx="152">
                  <c:v>-7.1585311642326701</c:v>
                </c:pt>
                <c:pt idx="153">
                  <c:v>-11.802850078135947</c:v>
                </c:pt>
                <c:pt idx="154">
                  <c:v>-16.488655963276813</c:v>
                </c:pt>
                <c:pt idx="155">
                  <c:v>-21.214521477790157</c:v>
                </c:pt>
                <c:pt idx="156">
                  <c:v>-25.979007077259865</c:v>
                </c:pt>
                <c:pt idx="157">
                  <c:v>-30.780661453217746</c:v>
                </c:pt>
                <c:pt idx="158">
                  <c:v>-35.618021975226327</c:v>
                </c:pt>
                <c:pt idx="159">
                  <c:v>-40.489615136409938</c:v>
                </c:pt>
                <c:pt idx="160">
                  <c:v>-45.393957002299331</c:v>
                </c:pt>
                <c:pt idx="161">
                  <c:v>-50.329553662852888</c:v>
                </c:pt>
                <c:pt idx="162">
                  <c:v>-55.294901687515747</c:v>
                </c:pt>
                <c:pt idx="163">
                  <c:v>-60.288488583178889</c:v>
                </c:pt>
                <c:pt idx="164">
                  <c:v>-65.308793254900095</c:v>
                </c:pt>
                <c:pt idx="165">
                  <c:v>-70.354286469243689</c:v>
                </c:pt>
                <c:pt idx="166">
                  <c:v>-75.423431320099681</c:v>
                </c:pt>
                <c:pt idx="167">
                  <c:v>-80.514683696840564</c:v>
                </c:pt>
                <c:pt idx="168">
                  <c:v>-85.626492754672199</c:v>
                </c:pt>
                <c:pt idx="169">
                  <c:v>-90.757301387036506</c:v>
                </c:pt>
                <c:pt idx="170">
                  <c:v>-95.905546699920919</c:v>
                </c:pt>
                <c:pt idx="171">
                  <c:v>-101.0696604879307</c:v>
                </c:pt>
                <c:pt idx="172">
                  <c:v>-106.24806971198028</c:v>
                </c:pt>
                <c:pt idx="173">
                  <c:v>-111.43919697845573</c:v>
                </c:pt>
                <c:pt idx="174">
                  <c:v>-116.64146101970388</c:v>
                </c:pt>
                <c:pt idx="175">
                  <c:v>-121.8532771757024</c:v>
                </c:pt>
                <c:pt idx="176">
                  <c:v>-127.07305787676233</c:v>
                </c:pt>
                <c:pt idx="177">
                  <c:v>-132.29921312711684</c:v>
                </c:pt>
                <c:pt idx="178">
                  <c:v>-137.53015098924979</c:v>
                </c:pt>
                <c:pt idx="179">
                  <c:v>-142.76427806881497</c:v>
                </c:pt>
                <c:pt idx="180">
                  <c:v>-147.99999999999997</c:v>
                </c:pt>
                <c:pt idx="181">
                  <c:v>-153.23572193118497</c:v>
                </c:pt>
                <c:pt idx="182">
                  <c:v>-158.46984901075027</c:v>
                </c:pt>
                <c:pt idx="183">
                  <c:v>-163.70078687288307</c:v>
                </c:pt>
                <c:pt idx="184">
                  <c:v>-168.92694212323744</c:v>
                </c:pt>
                <c:pt idx="185">
                  <c:v>-174.1467228242974</c:v>
                </c:pt>
                <c:pt idx="186">
                  <c:v>-179.35853898029592</c:v>
                </c:pt>
                <c:pt idx="187">
                  <c:v>-184.56080302154433</c:v>
                </c:pt>
                <c:pt idx="188">
                  <c:v>-189.75193028801965</c:v>
                </c:pt>
                <c:pt idx="189">
                  <c:v>-194.93033951206922</c:v>
                </c:pt>
                <c:pt idx="190">
                  <c:v>-200.09445330007912</c:v>
                </c:pt>
                <c:pt idx="191">
                  <c:v>-205.24269861296341</c:v>
                </c:pt>
                <c:pt idx="192">
                  <c:v>-210.37350724532772</c:v>
                </c:pt>
                <c:pt idx="193">
                  <c:v>-215.48531630315949</c:v>
                </c:pt>
                <c:pt idx="194">
                  <c:v>-220.57656867990025</c:v>
                </c:pt>
                <c:pt idx="195">
                  <c:v>-225.6457135307561</c:v>
                </c:pt>
                <c:pt idx="196">
                  <c:v>-230.69120674509969</c:v>
                </c:pt>
                <c:pt idx="197">
                  <c:v>-235.71151141682091</c:v>
                </c:pt>
                <c:pt idx="198">
                  <c:v>-240.70509831248432</c:v>
                </c:pt>
                <c:pt idx="199">
                  <c:v>-245.67044633714704</c:v>
                </c:pt>
                <c:pt idx="200">
                  <c:v>-250.6060429977006</c:v>
                </c:pt>
                <c:pt idx="201">
                  <c:v>-255.51038486359013</c:v>
                </c:pt>
                <c:pt idx="202">
                  <c:v>-260.38197802477362</c:v>
                </c:pt>
                <c:pt idx="203">
                  <c:v>-265.21933854678207</c:v>
                </c:pt>
                <c:pt idx="204">
                  <c:v>-270.02099292273994</c:v>
                </c:pt>
                <c:pt idx="205">
                  <c:v>-274.78547852220981</c:v>
                </c:pt>
                <c:pt idx="206">
                  <c:v>-279.51134403672313</c:v>
                </c:pt>
                <c:pt idx="207">
                  <c:v>-284.19714992186391</c:v>
                </c:pt>
                <c:pt idx="208">
                  <c:v>-288.84146883576727</c:v>
                </c:pt>
                <c:pt idx="209">
                  <c:v>-293.44288607390109</c:v>
                </c:pt>
                <c:pt idx="210">
                  <c:v>-298</c:v>
                </c:pt>
                <c:pt idx="211">
                  <c:v>-302.51142247301624</c:v>
                </c:pt>
                <c:pt idx="212">
                  <c:v>-306.97577926996144</c:v>
                </c:pt>
                <c:pt idx="213">
                  <c:v>-311.39171050450813</c:v>
                </c:pt>
                <c:pt idx="214">
                  <c:v>-315.75787104122401</c:v>
                </c:pt>
                <c:pt idx="215">
                  <c:v>-320.07293090531374</c:v>
                </c:pt>
                <c:pt idx="216">
                  <c:v>-324.33557568774188</c:v>
                </c:pt>
                <c:pt idx="217">
                  <c:v>-328.54450694561444</c:v>
                </c:pt>
                <c:pt idx="218">
                  <c:v>-332.69844259769735</c:v>
                </c:pt>
                <c:pt idx="219">
                  <c:v>-336.79611731495129</c:v>
                </c:pt>
                <c:pt idx="220">
                  <c:v>-340.83628290596175</c:v>
                </c:pt>
                <c:pt idx="221">
                  <c:v>-344.81770869715223</c:v>
                </c:pt>
                <c:pt idx="222">
                  <c:v>-348.73918190765744</c:v>
                </c:pt>
                <c:pt idx="223">
                  <c:v>-352.59950801874948</c:v>
                </c:pt>
                <c:pt idx="224">
                  <c:v>-356.39751113769921</c:v>
                </c:pt>
                <c:pt idx="225">
                  <c:v>-360.13203435596427</c:v>
                </c:pt>
                <c:pt idx="226">
                  <c:v>-363.80194010159528</c:v>
                </c:pt>
                <c:pt idx="227">
                  <c:v>-367.40611048575101</c:v>
                </c:pt>
                <c:pt idx="228">
                  <c:v>-370.94344764321818</c:v>
                </c:pt>
                <c:pt idx="229">
                  <c:v>-374.41287406683148</c:v>
                </c:pt>
                <c:pt idx="230">
                  <c:v>-377.81333293569338</c:v>
                </c:pt>
                <c:pt idx="231">
                  <c:v>-381.1437884370913</c:v>
                </c:pt>
                <c:pt idx="232">
                  <c:v>-384.40322608201666</c:v>
                </c:pt>
                <c:pt idx="233">
                  <c:v>-387.59065301418786</c:v>
                </c:pt>
                <c:pt idx="234">
                  <c:v>-390.70509831248421</c:v>
                </c:pt>
                <c:pt idx="235">
                  <c:v>-393.74561328669745</c:v>
                </c:pt>
                <c:pt idx="236">
                  <c:v>-396.71127176651243</c:v>
                </c:pt>
                <c:pt idx="237">
                  <c:v>-399.60117038362722</c:v>
                </c:pt>
                <c:pt idx="238">
                  <c:v>-402.41442884692776</c:v>
                </c:pt>
                <c:pt idx="239">
                  <c:v>-405.15019021063364</c:v>
                </c:pt>
                <c:pt idx="240">
                  <c:v>-407.80762113533149</c:v>
                </c:pt>
                <c:pt idx="241">
                  <c:v>-410.38591214181878</c:v>
                </c:pt>
                <c:pt idx="242">
                  <c:v>-412.88427785767811</c:v>
                </c:pt>
                <c:pt idx="243">
                  <c:v>-415.30195725651032</c:v>
                </c:pt>
                <c:pt idx="244">
                  <c:v>-417.63821388975003</c:v>
                </c:pt>
                <c:pt idx="245">
                  <c:v>-419.8923361109949</c:v>
                </c:pt>
                <c:pt idx="246">
                  <c:v>-422.0636372927803</c:v>
                </c:pt>
                <c:pt idx="247">
                  <c:v>-424.15145603573205</c:v>
                </c:pt>
                <c:pt idx="248">
                  <c:v>-426.1551563700362</c:v>
                </c:pt>
                <c:pt idx="249">
                  <c:v>-428.07412794916047</c:v>
                </c:pt>
                <c:pt idx="250">
                  <c:v>-429.90778623577245</c:v>
                </c:pt>
                <c:pt idx="251">
                  <c:v>-431.65557267979506</c:v>
                </c:pt>
                <c:pt idx="252">
                  <c:v>-433.31695488854604</c:v>
                </c:pt>
                <c:pt idx="253">
                  <c:v>-434.89142678891062</c:v>
                </c:pt>
                <c:pt idx="254">
                  <c:v>-436.37850878149573</c:v>
                </c:pt>
                <c:pt idx="255">
                  <c:v>-437.77774788672048</c:v>
                </c:pt>
                <c:pt idx="256">
                  <c:v>-439.08871788279896</c:v>
                </c:pt>
                <c:pt idx="257">
                  <c:v>-440.31101943557053</c:v>
                </c:pt>
                <c:pt idx="258">
                  <c:v>-441.44428022014165</c:v>
                </c:pt>
                <c:pt idx="259">
                  <c:v>-442.48815503429915</c:v>
                </c:pt>
                <c:pt idx="260">
                  <c:v>-443.44232590366238</c:v>
                </c:pt>
                <c:pt idx="261">
                  <c:v>-444.30650217854128</c:v>
                </c:pt>
                <c:pt idx="262">
                  <c:v>-445.08042062247108</c:v>
                </c:pt>
                <c:pt idx="263">
                  <c:v>-445.76384549239663</c:v>
                </c:pt>
                <c:pt idx="264">
                  <c:v>-446.35656861048204</c:v>
                </c:pt>
                <c:pt idx="265">
                  <c:v>-446.85840942752367</c:v>
                </c:pt>
                <c:pt idx="266">
                  <c:v>-447.26921507794725</c:v>
                </c:pt>
                <c:pt idx="267">
                  <c:v>-447.58886042637215</c:v>
                </c:pt>
                <c:pt idx="268">
                  <c:v>-447.81724810572871</c:v>
                </c:pt>
                <c:pt idx="269">
                  <c:v>-447.95430854691739</c:v>
                </c:pt>
                <c:pt idx="270">
                  <c:v>-448</c:v>
                </c:pt>
                <c:pt idx="271">
                  <c:v>-447.95430854691739</c:v>
                </c:pt>
                <c:pt idx="272">
                  <c:v>-447.81724810572871</c:v>
                </c:pt>
                <c:pt idx="273">
                  <c:v>-447.58886042637215</c:v>
                </c:pt>
                <c:pt idx="274">
                  <c:v>-447.26921507794731</c:v>
                </c:pt>
                <c:pt idx="275">
                  <c:v>-446.85840942752367</c:v>
                </c:pt>
                <c:pt idx="276">
                  <c:v>-446.35656861048204</c:v>
                </c:pt>
                <c:pt idx="277">
                  <c:v>-445.76384549239657</c:v>
                </c:pt>
                <c:pt idx="278">
                  <c:v>-445.08042062247108</c:v>
                </c:pt>
                <c:pt idx="279">
                  <c:v>-444.30650217854134</c:v>
                </c:pt>
                <c:pt idx="280">
                  <c:v>-443.44232590366244</c:v>
                </c:pt>
                <c:pt idx="281">
                  <c:v>-442.48815503429921</c:v>
                </c:pt>
                <c:pt idx="282">
                  <c:v>-441.44428022014176</c:v>
                </c:pt>
                <c:pt idx="283">
                  <c:v>-440.31101943557059</c:v>
                </c:pt>
                <c:pt idx="284">
                  <c:v>-439.08871788279896</c:v>
                </c:pt>
                <c:pt idx="285">
                  <c:v>-437.77774788672048</c:v>
                </c:pt>
                <c:pt idx="286">
                  <c:v>-436.37850878149561</c:v>
                </c:pt>
                <c:pt idx="287">
                  <c:v>-434.89142678891062</c:v>
                </c:pt>
                <c:pt idx="288">
                  <c:v>-433.31695488854609</c:v>
                </c:pt>
                <c:pt idx="289">
                  <c:v>-431.65557267979511</c:v>
                </c:pt>
                <c:pt idx="290">
                  <c:v>-429.90778623577256</c:v>
                </c:pt>
                <c:pt idx="291">
                  <c:v>-428.07412794916064</c:v>
                </c:pt>
                <c:pt idx="292">
                  <c:v>-426.15515637003625</c:v>
                </c:pt>
                <c:pt idx="293">
                  <c:v>-424.15145603573217</c:v>
                </c:pt>
                <c:pt idx="294">
                  <c:v>-422.06363729278024</c:v>
                </c:pt>
                <c:pt idx="295">
                  <c:v>-419.89233611099496</c:v>
                </c:pt>
                <c:pt idx="296">
                  <c:v>-417.63821388975009</c:v>
                </c:pt>
                <c:pt idx="297">
                  <c:v>-415.30195725651038</c:v>
                </c:pt>
                <c:pt idx="298">
                  <c:v>-412.88427785767811</c:v>
                </c:pt>
                <c:pt idx="299">
                  <c:v>-410.38591214181884</c:v>
                </c:pt>
                <c:pt idx="300">
                  <c:v>-407.8076211353316</c:v>
                </c:pt>
                <c:pt idx="301">
                  <c:v>-405.1501902106337</c:v>
                </c:pt>
                <c:pt idx="302">
                  <c:v>-402.41442884692788</c:v>
                </c:pt>
                <c:pt idx="303">
                  <c:v>-399.60117038362728</c:v>
                </c:pt>
                <c:pt idx="304">
                  <c:v>-396.7112717665126</c:v>
                </c:pt>
                <c:pt idx="305">
                  <c:v>-393.74561328669756</c:v>
                </c:pt>
                <c:pt idx="306">
                  <c:v>-390.70509831248427</c:v>
                </c:pt>
                <c:pt idx="307">
                  <c:v>-387.59065301418792</c:v>
                </c:pt>
                <c:pt idx="308">
                  <c:v>-384.40322608201654</c:v>
                </c:pt>
                <c:pt idx="309">
                  <c:v>-381.14378843709125</c:v>
                </c:pt>
                <c:pt idx="310">
                  <c:v>-377.81333293569344</c:v>
                </c:pt>
                <c:pt idx="311">
                  <c:v>-374.41287406683171</c:v>
                </c:pt>
                <c:pt idx="312">
                  <c:v>-370.94344764321841</c:v>
                </c:pt>
                <c:pt idx="313">
                  <c:v>-367.4061104857513</c:v>
                </c:pt>
                <c:pt idx="314">
                  <c:v>-363.80194010159551</c:v>
                </c:pt>
                <c:pt idx="315">
                  <c:v>-360.13203435596427</c:v>
                </c:pt>
                <c:pt idx="316">
                  <c:v>-356.39751113769927</c:v>
                </c:pt>
                <c:pt idx="317">
                  <c:v>-352.59950801874948</c:v>
                </c:pt>
                <c:pt idx="318">
                  <c:v>-348.73918190765744</c:v>
                </c:pt>
                <c:pt idx="319">
                  <c:v>-344.81770869715223</c:v>
                </c:pt>
                <c:pt idx="320">
                  <c:v>-340.83628290596187</c:v>
                </c:pt>
                <c:pt idx="321">
                  <c:v>-336.79611731495135</c:v>
                </c:pt>
                <c:pt idx="322">
                  <c:v>-332.69844259769764</c:v>
                </c:pt>
                <c:pt idx="323">
                  <c:v>-328.54450694561444</c:v>
                </c:pt>
                <c:pt idx="324">
                  <c:v>-324.33557568774199</c:v>
                </c:pt>
                <c:pt idx="325">
                  <c:v>-320.07293090531391</c:v>
                </c:pt>
                <c:pt idx="326">
                  <c:v>-315.75787104122423</c:v>
                </c:pt>
                <c:pt idx="327">
                  <c:v>-311.39171050450807</c:v>
                </c:pt>
                <c:pt idx="328">
                  <c:v>-306.97577926996178</c:v>
                </c:pt>
                <c:pt idx="329">
                  <c:v>-302.51142247301635</c:v>
                </c:pt>
                <c:pt idx="330">
                  <c:v>-298.00000000000011</c:v>
                </c:pt>
                <c:pt idx="331">
                  <c:v>-293.44288607390104</c:v>
                </c:pt>
                <c:pt idx="332">
                  <c:v>-288.84146883576727</c:v>
                </c:pt>
                <c:pt idx="333">
                  <c:v>-284.19714992186408</c:v>
                </c:pt>
                <c:pt idx="334">
                  <c:v>-279.51134403672313</c:v>
                </c:pt>
                <c:pt idx="335">
                  <c:v>-274.78547852220998</c:v>
                </c:pt>
                <c:pt idx="336">
                  <c:v>-270.02099292274005</c:v>
                </c:pt>
                <c:pt idx="337">
                  <c:v>-265.21933854678241</c:v>
                </c:pt>
                <c:pt idx="338">
                  <c:v>-260.38197802477373</c:v>
                </c:pt>
                <c:pt idx="339">
                  <c:v>-255.51038486359022</c:v>
                </c:pt>
                <c:pt idx="340">
                  <c:v>-250.60604299770057</c:v>
                </c:pt>
                <c:pt idx="341">
                  <c:v>-245.67044633714727</c:v>
                </c:pt>
                <c:pt idx="342">
                  <c:v>-240.70509831248427</c:v>
                </c:pt>
                <c:pt idx="343">
                  <c:v>-235.71151141682088</c:v>
                </c:pt>
                <c:pt idx="344">
                  <c:v>-230.69120674509992</c:v>
                </c:pt>
                <c:pt idx="345">
                  <c:v>-225.64571353075621</c:v>
                </c:pt>
                <c:pt idx="346">
                  <c:v>-220.57656867990036</c:v>
                </c:pt>
                <c:pt idx="347">
                  <c:v>-215.48531630315961</c:v>
                </c:pt>
                <c:pt idx="348">
                  <c:v>-210.37350724532797</c:v>
                </c:pt>
                <c:pt idx="349">
                  <c:v>-205.24269861296341</c:v>
                </c:pt>
                <c:pt idx="350">
                  <c:v>-200.09445330007938</c:v>
                </c:pt>
                <c:pt idx="351">
                  <c:v>-194.93033951206934</c:v>
                </c:pt>
                <c:pt idx="352">
                  <c:v>-189.75193028801976</c:v>
                </c:pt>
                <c:pt idx="353">
                  <c:v>-184.56080302154444</c:v>
                </c:pt>
                <c:pt idx="354">
                  <c:v>-179.35853898029603</c:v>
                </c:pt>
                <c:pt idx="355">
                  <c:v>-174.14672282429748</c:v>
                </c:pt>
                <c:pt idx="356">
                  <c:v>-168.92694212323744</c:v>
                </c:pt>
                <c:pt idx="357">
                  <c:v>-163.7007868728833</c:v>
                </c:pt>
                <c:pt idx="358">
                  <c:v>-158.46984901075024</c:v>
                </c:pt>
                <c:pt idx="359">
                  <c:v>-153.23572193118534</c:v>
                </c:pt>
                <c:pt idx="360">
                  <c:v>-148.00000000000009</c:v>
                </c:pt>
              </c:numCache>
            </c:numRef>
          </c:xVal>
          <c:yVal>
            <c:numRef>
              <c:f>Aufsicht!$Y$10:$Y$370</c:f>
              <c:numCache>
                <c:formatCode>General</c:formatCode>
                <c:ptCount val="361"/>
                <c:pt idx="0">
                  <c:v>300</c:v>
                </c:pt>
                <c:pt idx="1">
                  <c:v>299.95430854691739</c:v>
                </c:pt>
                <c:pt idx="2">
                  <c:v>299.81724810572871</c:v>
                </c:pt>
                <c:pt idx="3">
                  <c:v>299.58886042637215</c:v>
                </c:pt>
                <c:pt idx="4">
                  <c:v>299.26921507794725</c:v>
                </c:pt>
                <c:pt idx="5">
                  <c:v>298.85840942752367</c:v>
                </c:pt>
                <c:pt idx="6">
                  <c:v>298.35656861048199</c:v>
                </c:pt>
                <c:pt idx="7">
                  <c:v>297.76384549239657</c:v>
                </c:pt>
                <c:pt idx="8">
                  <c:v>297.08042062247108</c:v>
                </c:pt>
                <c:pt idx="9">
                  <c:v>296.30650217854134</c:v>
                </c:pt>
                <c:pt idx="10">
                  <c:v>295.44232590366238</c:v>
                </c:pt>
                <c:pt idx="11">
                  <c:v>294.48815503429921</c:v>
                </c:pt>
                <c:pt idx="12">
                  <c:v>293.44428022014171</c:v>
                </c:pt>
                <c:pt idx="13">
                  <c:v>292.31101943557059</c:v>
                </c:pt>
                <c:pt idx="14">
                  <c:v>291.08871788279896</c:v>
                </c:pt>
                <c:pt idx="15">
                  <c:v>289.77774788672048</c:v>
                </c:pt>
                <c:pt idx="16">
                  <c:v>288.37850878149567</c:v>
                </c:pt>
                <c:pt idx="17">
                  <c:v>286.89142678891062</c:v>
                </c:pt>
                <c:pt idx="18">
                  <c:v>285.31695488854604</c:v>
                </c:pt>
                <c:pt idx="19">
                  <c:v>283.65557267979506</c:v>
                </c:pt>
                <c:pt idx="20">
                  <c:v>281.90778623577251</c:v>
                </c:pt>
                <c:pt idx="21">
                  <c:v>280.07412794916053</c:v>
                </c:pt>
                <c:pt idx="22">
                  <c:v>278.15515637003625</c:v>
                </c:pt>
                <c:pt idx="23">
                  <c:v>276.15145603573211</c:v>
                </c:pt>
                <c:pt idx="24">
                  <c:v>274.06363729278024</c:v>
                </c:pt>
                <c:pt idx="25">
                  <c:v>271.89233611099496</c:v>
                </c:pt>
                <c:pt idx="26">
                  <c:v>269.63821388975009</c:v>
                </c:pt>
                <c:pt idx="27">
                  <c:v>267.30195725651038</c:v>
                </c:pt>
                <c:pt idx="28">
                  <c:v>264.88427785767811</c:v>
                </c:pt>
                <c:pt idx="29">
                  <c:v>262.38591214181872</c:v>
                </c:pt>
                <c:pt idx="30">
                  <c:v>259.8076211353316</c:v>
                </c:pt>
                <c:pt idx="31">
                  <c:v>257.1501902106337</c:v>
                </c:pt>
                <c:pt idx="32">
                  <c:v>254.41442884692779</c:v>
                </c:pt>
                <c:pt idx="33">
                  <c:v>251.60117038362722</c:v>
                </c:pt>
                <c:pt idx="34">
                  <c:v>248.71127176651248</c:v>
                </c:pt>
                <c:pt idx="35">
                  <c:v>245.74561328669753</c:v>
                </c:pt>
                <c:pt idx="36">
                  <c:v>242.70509831248424</c:v>
                </c:pt>
                <c:pt idx="37">
                  <c:v>239.59065301418784</c:v>
                </c:pt>
                <c:pt idx="38">
                  <c:v>236.4032260820166</c:v>
                </c:pt>
                <c:pt idx="39">
                  <c:v>233.14378843709127</c:v>
                </c:pt>
                <c:pt idx="40">
                  <c:v>229.81333293569341</c:v>
                </c:pt>
                <c:pt idx="41">
                  <c:v>226.41287406683165</c:v>
                </c:pt>
                <c:pt idx="42">
                  <c:v>222.94344764321826</c:v>
                </c:pt>
                <c:pt idx="43">
                  <c:v>219.40611048575119</c:v>
                </c:pt>
                <c:pt idx="44">
                  <c:v>215.80194010159536</c:v>
                </c:pt>
                <c:pt idx="45">
                  <c:v>212.13203435596427</c:v>
                </c:pt>
                <c:pt idx="46">
                  <c:v>208.39751113769921</c:v>
                </c:pt>
                <c:pt idx="47">
                  <c:v>204.59950801874953</c:v>
                </c:pt>
                <c:pt idx="48">
                  <c:v>200.73918190765747</c:v>
                </c:pt>
                <c:pt idx="49">
                  <c:v>196.81770869715217</c:v>
                </c:pt>
                <c:pt idx="50">
                  <c:v>192.83628290596181</c:v>
                </c:pt>
                <c:pt idx="51">
                  <c:v>188.79611731495126</c:v>
                </c:pt>
                <c:pt idx="52">
                  <c:v>184.69844259769749</c:v>
                </c:pt>
                <c:pt idx="53">
                  <c:v>180.5445069456145</c:v>
                </c:pt>
                <c:pt idx="54">
                  <c:v>176.33557568774194</c:v>
                </c:pt>
                <c:pt idx="55">
                  <c:v>172.07293090531385</c:v>
                </c:pt>
                <c:pt idx="56">
                  <c:v>167.75787104122404</c:v>
                </c:pt>
                <c:pt idx="57">
                  <c:v>163.39171050450815</c:v>
                </c:pt>
                <c:pt idx="58">
                  <c:v>158.97577926996146</c:v>
                </c:pt>
                <c:pt idx="59">
                  <c:v>154.51142247301632</c:v>
                </c:pt>
                <c:pt idx="60">
                  <c:v>150.00000000000003</c:v>
                </c:pt>
                <c:pt idx="61">
                  <c:v>145.44288607390112</c:v>
                </c:pt>
                <c:pt idx="62">
                  <c:v>140.84146883576724</c:v>
                </c:pt>
                <c:pt idx="63">
                  <c:v>136.19714992186405</c:v>
                </c:pt>
                <c:pt idx="64">
                  <c:v>131.51134403672324</c:v>
                </c:pt>
                <c:pt idx="65">
                  <c:v>126.78547852220983</c:v>
                </c:pt>
                <c:pt idx="66">
                  <c:v>122.02099292274006</c:v>
                </c:pt>
                <c:pt idx="67">
                  <c:v>117.21933854678218</c:v>
                </c:pt>
                <c:pt idx="68">
                  <c:v>112.38197802477359</c:v>
                </c:pt>
                <c:pt idx="69">
                  <c:v>107.51038486359012</c:v>
                </c:pt>
                <c:pt idx="70">
                  <c:v>102.60604299770064</c:v>
                </c:pt>
                <c:pt idx="71">
                  <c:v>97.670446337147027</c:v>
                </c:pt>
                <c:pt idx="72">
                  <c:v>92.705098312484239</c:v>
                </c:pt>
                <c:pt idx="73">
                  <c:v>87.711511416821025</c:v>
                </c:pt>
                <c:pt idx="74">
                  <c:v>82.691206745099748</c:v>
                </c:pt>
                <c:pt idx="75">
                  <c:v>77.645713530756225</c:v>
                </c:pt>
                <c:pt idx="76">
                  <c:v>72.576568679900376</c:v>
                </c:pt>
                <c:pt idx="77">
                  <c:v>67.485316303159479</c:v>
                </c:pt>
                <c:pt idx="78">
                  <c:v>62.373507245327836</c:v>
                </c:pt>
                <c:pt idx="79">
                  <c:v>57.242698612963473</c:v>
                </c:pt>
                <c:pt idx="80">
                  <c:v>52.094453300079124</c:v>
                </c:pt>
                <c:pt idx="81">
                  <c:v>46.930339512069274</c:v>
                </c:pt>
                <c:pt idx="82">
                  <c:v>41.751930288019707</c:v>
                </c:pt>
                <c:pt idx="83">
                  <c:v>36.560803021544245</c:v>
                </c:pt>
                <c:pt idx="84">
                  <c:v>31.358538980296036</c:v>
                </c:pt>
                <c:pt idx="85">
                  <c:v>26.146722824297441</c:v>
                </c:pt>
                <c:pt idx="86">
                  <c:v>20.926942123237637</c:v>
                </c:pt>
                <c:pt idx="87">
                  <c:v>15.700786872883191</c:v>
                </c:pt>
                <c:pt idx="88">
                  <c:v>10.469849010750323</c:v>
                </c:pt>
                <c:pt idx="89">
                  <c:v>5.2357219311850125</c:v>
                </c:pt>
                <c:pt idx="90">
                  <c:v>1.83772268236293E-14</c:v>
                </c:pt>
                <c:pt idx="91">
                  <c:v>-5.2357219311850427</c:v>
                </c:pt>
                <c:pt idx="92">
                  <c:v>-10.46984901075022</c:v>
                </c:pt>
                <c:pt idx="93">
                  <c:v>-15.700786872883086</c:v>
                </c:pt>
                <c:pt idx="94">
                  <c:v>-20.926942123237598</c:v>
                </c:pt>
                <c:pt idx="95">
                  <c:v>-26.14672282429747</c:v>
                </c:pt>
                <c:pt idx="96">
                  <c:v>-31.358538980296</c:v>
                </c:pt>
                <c:pt idx="97">
                  <c:v>-36.56080302154421</c:v>
                </c:pt>
                <c:pt idx="98">
                  <c:v>-41.751930288019608</c:v>
                </c:pt>
                <c:pt idx="99">
                  <c:v>-46.93033951206931</c:v>
                </c:pt>
                <c:pt idx="100">
                  <c:v>-52.094453300079088</c:v>
                </c:pt>
                <c:pt idx="101">
                  <c:v>-57.242698612963444</c:v>
                </c:pt>
                <c:pt idx="102">
                  <c:v>-62.373507245327737</c:v>
                </c:pt>
                <c:pt idx="103">
                  <c:v>-67.485316303159436</c:v>
                </c:pt>
                <c:pt idx="104">
                  <c:v>-72.576568679900333</c:v>
                </c:pt>
                <c:pt idx="105">
                  <c:v>-77.645713530756254</c:v>
                </c:pt>
                <c:pt idx="106">
                  <c:v>-82.69120674509972</c:v>
                </c:pt>
                <c:pt idx="107">
                  <c:v>-87.711511416820997</c:v>
                </c:pt>
                <c:pt idx="108">
                  <c:v>-92.705098312484196</c:v>
                </c:pt>
                <c:pt idx="109">
                  <c:v>-97.670446337146927</c:v>
                </c:pt>
                <c:pt idx="110">
                  <c:v>-102.60604299770061</c:v>
                </c:pt>
                <c:pt idx="111">
                  <c:v>-107.51038486359008</c:v>
                </c:pt>
                <c:pt idx="112">
                  <c:v>-112.38197802477362</c:v>
                </c:pt>
                <c:pt idx="113">
                  <c:v>-117.21933854678208</c:v>
                </c:pt>
                <c:pt idx="114">
                  <c:v>-122.02099292274001</c:v>
                </c:pt>
                <c:pt idx="115">
                  <c:v>-126.7854785222098</c:v>
                </c:pt>
                <c:pt idx="116">
                  <c:v>-131.51134403672324</c:v>
                </c:pt>
                <c:pt idx="117">
                  <c:v>-136.197149921864</c:v>
                </c:pt>
                <c:pt idx="118">
                  <c:v>-140.84146883576716</c:v>
                </c:pt>
                <c:pt idx="119">
                  <c:v>-145.44288607390109</c:v>
                </c:pt>
                <c:pt idx="120">
                  <c:v>-149.99999999999994</c:v>
                </c:pt>
                <c:pt idx="121">
                  <c:v>-154.51142247301627</c:v>
                </c:pt>
                <c:pt idx="122">
                  <c:v>-158.97577926996144</c:v>
                </c:pt>
                <c:pt idx="123">
                  <c:v>-163.39171050450813</c:v>
                </c:pt>
                <c:pt idx="124">
                  <c:v>-167.75787104122401</c:v>
                </c:pt>
                <c:pt idx="125">
                  <c:v>-172.07293090531374</c:v>
                </c:pt>
                <c:pt idx="126">
                  <c:v>-176.33557568774191</c:v>
                </c:pt>
                <c:pt idx="127">
                  <c:v>-180.5445069456145</c:v>
                </c:pt>
                <c:pt idx="128">
                  <c:v>-184.69844259769749</c:v>
                </c:pt>
                <c:pt idx="129">
                  <c:v>-188.79611731495118</c:v>
                </c:pt>
                <c:pt idx="130">
                  <c:v>-192.83628290596181</c:v>
                </c:pt>
                <c:pt idx="131">
                  <c:v>-196.81770869715226</c:v>
                </c:pt>
                <c:pt idx="132">
                  <c:v>-200.73918190765747</c:v>
                </c:pt>
                <c:pt idx="133">
                  <c:v>-204.5995080187495</c:v>
                </c:pt>
                <c:pt idx="134">
                  <c:v>-208.3975111376991</c:v>
                </c:pt>
                <c:pt idx="135">
                  <c:v>-212.13203435596424</c:v>
                </c:pt>
                <c:pt idx="136">
                  <c:v>-215.80194010159536</c:v>
                </c:pt>
                <c:pt idx="137">
                  <c:v>-219.40611048575113</c:v>
                </c:pt>
                <c:pt idx="138">
                  <c:v>-222.94344764321821</c:v>
                </c:pt>
                <c:pt idx="139">
                  <c:v>-226.41287406683159</c:v>
                </c:pt>
                <c:pt idx="140">
                  <c:v>-229.81333293569338</c:v>
                </c:pt>
                <c:pt idx="141">
                  <c:v>-233.14378843709122</c:v>
                </c:pt>
                <c:pt idx="142">
                  <c:v>-236.40322608201657</c:v>
                </c:pt>
                <c:pt idx="143">
                  <c:v>-239.59065301418789</c:v>
                </c:pt>
                <c:pt idx="144">
                  <c:v>-242.70509831248421</c:v>
                </c:pt>
                <c:pt idx="145">
                  <c:v>-245.74561328669748</c:v>
                </c:pt>
                <c:pt idx="146">
                  <c:v>-248.71127176651248</c:v>
                </c:pt>
                <c:pt idx="147">
                  <c:v>-251.60117038362725</c:v>
                </c:pt>
                <c:pt idx="148">
                  <c:v>-254.41442884692779</c:v>
                </c:pt>
                <c:pt idx="149">
                  <c:v>-257.15019021063364</c:v>
                </c:pt>
                <c:pt idx="150">
                  <c:v>-259.8076211353316</c:v>
                </c:pt>
                <c:pt idx="151">
                  <c:v>-262.38591214181872</c:v>
                </c:pt>
                <c:pt idx="152">
                  <c:v>-264.88427785767806</c:v>
                </c:pt>
                <c:pt idx="153">
                  <c:v>-267.30195725651032</c:v>
                </c:pt>
                <c:pt idx="154">
                  <c:v>-269.63821388975009</c:v>
                </c:pt>
                <c:pt idx="155">
                  <c:v>-271.89233611099496</c:v>
                </c:pt>
                <c:pt idx="156">
                  <c:v>-274.06363729278024</c:v>
                </c:pt>
                <c:pt idx="157">
                  <c:v>-276.15145603573205</c:v>
                </c:pt>
                <c:pt idx="158">
                  <c:v>-278.1551563700362</c:v>
                </c:pt>
                <c:pt idx="159">
                  <c:v>-280.07412794916053</c:v>
                </c:pt>
                <c:pt idx="160">
                  <c:v>-281.90778623577251</c:v>
                </c:pt>
                <c:pt idx="161">
                  <c:v>-283.655572679795</c:v>
                </c:pt>
                <c:pt idx="162">
                  <c:v>-285.31695488854604</c:v>
                </c:pt>
                <c:pt idx="163">
                  <c:v>-286.89142678891062</c:v>
                </c:pt>
                <c:pt idx="164">
                  <c:v>-288.37850878149561</c:v>
                </c:pt>
                <c:pt idx="165">
                  <c:v>-289.77774788672048</c:v>
                </c:pt>
                <c:pt idx="166">
                  <c:v>-291.08871788279896</c:v>
                </c:pt>
                <c:pt idx="167">
                  <c:v>-292.31101943557059</c:v>
                </c:pt>
                <c:pt idx="168">
                  <c:v>-293.44428022014171</c:v>
                </c:pt>
                <c:pt idx="169">
                  <c:v>-294.48815503429921</c:v>
                </c:pt>
                <c:pt idx="170">
                  <c:v>-295.44232590366238</c:v>
                </c:pt>
                <c:pt idx="171">
                  <c:v>-296.30650217854128</c:v>
                </c:pt>
                <c:pt idx="172">
                  <c:v>-297.08042062247108</c:v>
                </c:pt>
                <c:pt idx="173">
                  <c:v>-297.76384549239657</c:v>
                </c:pt>
                <c:pt idx="174">
                  <c:v>-298.35656861048199</c:v>
                </c:pt>
                <c:pt idx="175">
                  <c:v>-298.85840942752367</c:v>
                </c:pt>
                <c:pt idx="176">
                  <c:v>-299.26921507794725</c:v>
                </c:pt>
                <c:pt idx="177">
                  <c:v>-299.58886042637215</c:v>
                </c:pt>
                <c:pt idx="178">
                  <c:v>-299.81724810572871</c:v>
                </c:pt>
                <c:pt idx="179">
                  <c:v>-299.95430854691739</c:v>
                </c:pt>
                <c:pt idx="180">
                  <c:v>-300</c:v>
                </c:pt>
                <c:pt idx="181">
                  <c:v>-299.95430854691739</c:v>
                </c:pt>
                <c:pt idx="182">
                  <c:v>-299.81724810572871</c:v>
                </c:pt>
                <c:pt idx="183">
                  <c:v>-299.58886042637215</c:v>
                </c:pt>
                <c:pt idx="184">
                  <c:v>-299.26921507794731</c:v>
                </c:pt>
                <c:pt idx="185">
                  <c:v>-298.85840942752367</c:v>
                </c:pt>
                <c:pt idx="186">
                  <c:v>-298.35656861048204</c:v>
                </c:pt>
                <c:pt idx="187">
                  <c:v>-297.76384549239657</c:v>
                </c:pt>
                <c:pt idx="188">
                  <c:v>-297.08042062247108</c:v>
                </c:pt>
                <c:pt idx="189">
                  <c:v>-296.30650217854134</c:v>
                </c:pt>
                <c:pt idx="190">
                  <c:v>-295.44232590366238</c:v>
                </c:pt>
                <c:pt idx="191">
                  <c:v>-294.48815503429921</c:v>
                </c:pt>
                <c:pt idx="192">
                  <c:v>-293.44428022014171</c:v>
                </c:pt>
                <c:pt idx="193">
                  <c:v>-292.31101943557059</c:v>
                </c:pt>
                <c:pt idx="194">
                  <c:v>-291.08871788279896</c:v>
                </c:pt>
                <c:pt idx="195">
                  <c:v>-289.77774788672053</c:v>
                </c:pt>
                <c:pt idx="196">
                  <c:v>-288.37850878149567</c:v>
                </c:pt>
                <c:pt idx="197">
                  <c:v>-286.89142678891068</c:v>
                </c:pt>
                <c:pt idx="198">
                  <c:v>-285.31695488854604</c:v>
                </c:pt>
                <c:pt idx="199">
                  <c:v>-283.655572679795</c:v>
                </c:pt>
                <c:pt idx="200">
                  <c:v>-281.90778623577251</c:v>
                </c:pt>
                <c:pt idx="201">
                  <c:v>-280.07412794916053</c:v>
                </c:pt>
                <c:pt idx="202">
                  <c:v>-278.15515637003625</c:v>
                </c:pt>
                <c:pt idx="203">
                  <c:v>-276.15145603573211</c:v>
                </c:pt>
                <c:pt idx="204">
                  <c:v>-274.0636372927803</c:v>
                </c:pt>
                <c:pt idx="205">
                  <c:v>-271.89233611099502</c:v>
                </c:pt>
                <c:pt idx="206">
                  <c:v>-269.63821388975015</c:v>
                </c:pt>
                <c:pt idx="207">
                  <c:v>-267.30195725651043</c:v>
                </c:pt>
                <c:pt idx="208">
                  <c:v>-264.88427785767806</c:v>
                </c:pt>
                <c:pt idx="209">
                  <c:v>-262.38591214181878</c:v>
                </c:pt>
                <c:pt idx="210">
                  <c:v>-259.8076211353316</c:v>
                </c:pt>
                <c:pt idx="211">
                  <c:v>-257.1501902106337</c:v>
                </c:pt>
                <c:pt idx="212">
                  <c:v>-254.41442884692782</c:v>
                </c:pt>
                <c:pt idx="213">
                  <c:v>-251.60117038362722</c:v>
                </c:pt>
                <c:pt idx="214">
                  <c:v>-248.71127176651257</c:v>
                </c:pt>
                <c:pt idx="215">
                  <c:v>-245.74561328669762</c:v>
                </c:pt>
                <c:pt idx="216">
                  <c:v>-242.70509831248427</c:v>
                </c:pt>
                <c:pt idx="217">
                  <c:v>-239.59065301418792</c:v>
                </c:pt>
                <c:pt idx="218">
                  <c:v>-236.40322608201666</c:v>
                </c:pt>
                <c:pt idx="219">
                  <c:v>-233.14378843709125</c:v>
                </c:pt>
                <c:pt idx="220">
                  <c:v>-229.81333293569341</c:v>
                </c:pt>
                <c:pt idx="221">
                  <c:v>-226.41287406683156</c:v>
                </c:pt>
                <c:pt idx="222">
                  <c:v>-222.94344764321826</c:v>
                </c:pt>
                <c:pt idx="223">
                  <c:v>-219.40611048575119</c:v>
                </c:pt>
                <c:pt idx="224">
                  <c:v>-215.80194010159533</c:v>
                </c:pt>
                <c:pt idx="225">
                  <c:v>-212.13203435596429</c:v>
                </c:pt>
                <c:pt idx="226">
                  <c:v>-208.39751113769927</c:v>
                </c:pt>
                <c:pt idx="227">
                  <c:v>-204.59950801874967</c:v>
                </c:pt>
                <c:pt idx="228">
                  <c:v>-200.73918190765752</c:v>
                </c:pt>
                <c:pt idx="229">
                  <c:v>-196.81770869715228</c:v>
                </c:pt>
                <c:pt idx="230">
                  <c:v>-192.83628290596184</c:v>
                </c:pt>
                <c:pt idx="231">
                  <c:v>-188.79611731495115</c:v>
                </c:pt>
                <c:pt idx="232">
                  <c:v>-184.69844259769741</c:v>
                </c:pt>
                <c:pt idx="233">
                  <c:v>-180.54450694561447</c:v>
                </c:pt>
                <c:pt idx="234">
                  <c:v>-176.33557568774197</c:v>
                </c:pt>
                <c:pt idx="235">
                  <c:v>-172.07293090531391</c:v>
                </c:pt>
                <c:pt idx="236">
                  <c:v>-167.75787104122418</c:v>
                </c:pt>
                <c:pt idx="237">
                  <c:v>-163.3917105045081</c:v>
                </c:pt>
                <c:pt idx="238">
                  <c:v>-158.97577926996149</c:v>
                </c:pt>
                <c:pt idx="239">
                  <c:v>-154.51142247301635</c:v>
                </c:pt>
                <c:pt idx="240">
                  <c:v>-150.00000000000014</c:v>
                </c:pt>
                <c:pt idx="241">
                  <c:v>-145.44288607390106</c:v>
                </c:pt>
                <c:pt idx="242">
                  <c:v>-140.84146883576722</c:v>
                </c:pt>
                <c:pt idx="243">
                  <c:v>-136.19714992186408</c:v>
                </c:pt>
                <c:pt idx="244">
                  <c:v>-131.51134403672333</c:v>
                </c:pt>
                <c:pt idx="245">
                  <c:v>-126.78547852220998</c:v>
                </c:pt>
                <c:pt idx="246">
                  <c:v>-122.02099292274004</c:v>
                </c:pt>
                <c:pt idx="247">
                  <c:v>-117.21933854678215</c:v>
                </c:pt>
                <c:pt idx="248">
                  <c:v>-112.38197802477369</c:v>
                </c:pt>
                <c:pt idx="249">
                  <c:v>-107.51038486359022</c:v>
                </c:pt>
                <c:pt idx="250">
                  <c:v>-102.60604299770081</c:v>
                </c:pt>
                <c:pt idx="251">
                  <c:v>-97.670446337146998</c:v>
                </c:pt>
                <c:pt idx="252">
                  <c:v>-92.705098312484267</c:v>
                </c:pt>
                <c:pt idx="253">
                  <c:v>-87.711511416821125</c:v>
                </c:pt>
                <c:pt idx="254">
                  <c:v>-82.691206745099663</c:v>
                </c:pt>
                <c:pt idx="255">
                  <c:v>-77.645713530756183</c:v>
                </c:pt>
                <c:pt idx="256">
                  <c:v>-72.576568679900333</c:v>
                </c:pt>
                <c:pt idx="257">
                  <c:v>-67.485316303159578</c:v>
                </c:pt>
                <c:pt idx="258">
                  <c:v>-62.373507245327936</c:v>
                </c:pt>
                <c:pt idx="259">
                  <c:v>-57.242698612963643</c:v>
                </c:pt>
                <c:pt idx="260">
                  <c:v>-52.094453300079103</c:v>
                </c:pt>
                <c:pt idx="261">
                  <c:v>-46.93033951206931</c:v>
                </c:pt>
                <c:pt idx="262">
                  <c:v>-41.75193028801948</c:v>
                </c:pt>
                <c:pt idx="263">
                  <c:v>-36.560803021544153</c:v>
                </c:pt>
                <c:pt idx="264">
                  <c:v>-31.358538980296007</c:v>
                </c:pt>
                <c:pt idx="265">
                  <c:v>-26.146722824297473</c:v>
                </c:pt>
                <c:pt idx="266">
                  <c:v>-20.926942123237673</c:v>
                </c:pt>
                <c:pt idx="267">
                  <c:v>-15.700786872883292</c:v>
                </c:pt>
                <c:pt idx="268">
                  <c:v>-10.469849010750496</c:v>
                </c:pt>
                <c:pt idx="269">
                  <c:v>-5.2357219311850489</c:v>
                </c:pt>
                <c:pt idx="270">
                  <c:v>-5.51316804708879E-14</c:v>
                </c:pt>
                <c:pt idx="271">
                  <c:v>5.2357219311849388</c:v>
                </c:pt>
                <c:pt idx="272">
                  <c:v>10.469849010750384</c:v>
                </c:pt>
                <c:pt idx="273">
                  <c:v>15.700786872883183</c:v>
                </c:pt>
                <c:pt idx="274">
                  <c:v>20.926942123237566</c:v>
                </c:pt>
                <c:pt idx="275">
                  <c:v>26.146722824297367</c:v>
                </c:pt>
                <c:pt idx="276">
                  <c:v>31.358538980295897</c:v>
                </c:pt>
                <c:pt idx="277">
                  <c:v>36.560803021544302</c:v>
                </c:pt>
                <c:pt idx="278">
                  <c:v>41.751930288019636</c:v>
                </c:pt>
                <c:pt idx="279">
                  <c:v>46.930339512069203</c:v>
                </c:pt>
                <c:pt idx="280">
                  <c:v>52.094453300078989</c:v>
                </c:pt>
                <c:pt idx="281">
                  <c:v>57.242698612963274</c:v>
                </c:pt>
                <c:pt idx="282">
                  <c:v>62.373507245327566</c:v>
                </c:pt>
                <c:pt idx="283">
                  <c:v>67.485316303159479</c:v>
                </c:pt>
                <c:pt idx="284">
                  <c:v>72.576568679900234</c:v>
                </c:pt>
                <c:pt idx="285">
                  <c:v>77.645713530756339</c:v>
                </c:pt>
                <c:pt idx="286">
                  <c:v>82.691206745099819</c:v>
                </c:pt>
                <c:pt idx="287">
                  <c:v>87.711511416821011</c:v>
                </c:pt>
                <c:pt idx="288">
                  <c:v>92.705098312484168</c:v>
                </c:pt>
                <c:pt idx="289">
                  <c:v>97.670446337146899</c:v>
                </c:pt>
                <c:pt idx="290">
                  <c:v>102.60604299770044</c:v>
                </c:pt>
                <c:pt idx="291">
                  <c:v>107.51038486358986</c:v>
                </c:pt>
                <c:pt idx="292">
                  <c:v>112.38197802477359</c:v>
                </c:pt>
                <c:pt idx="293">
                  <c:v>117.21933854678205</c:v>
                </c:pt>
                <c:pt idx="294">
                  <c:v>122.02099292274016</c:v>
                </c:pt>
                <c:pt idx="295">
                  <c:v>126.78547852220989</c:v>
                </c:pt>
                <c:pt idx="296">
                  <c:v>131.51134403672322</c:v>
                </c:pt>
                <c:pt idx="297">
                  <c:v>136.197149921864</c:v>
                </c:pt>
                <c:pt idx="298">
                  <c:v>140.84146883576713</c:v>
                </c:pt>
                <c:pt idx="299">
                  <c:v>145.44288607390095</c:v>
                </c:pt>
                <c:pt idx="300">
                  <c:v>150.00000000000003</c:v>
                </c:pt>
                <c:pt idx="301">
                  <c:v>154.51142247301624</c:v>
                </c:pt>
                <c:pt idx="302">
                  <c:v>158.97577926996141</c:v>
                </c:pt>
                <c:pt idx="303">
                  <c:v>163.39171050450798</c:v>
                </c:pt>
                <c:pt idx="304">
                  <c:v>167.75787104122386</c:v>
                </c:pt>
                <c:pt idx="305">
                  <c:v>172.07293090531383</c:v>
                </c:pt>
                <c:pt idx="306">
                  <c:v>176.33557568774188</c:v>
                </c:pt>
                <c:pt idx="307">
                  <c:v>180.54450694561439</c:v>
                </c:pt>
                <c:pt idx="308">
                  <c:v>184.69844259769755</c:v>
                </c:pt>
                <c:pt idx="309">
                  <c:v>188.79611731495126</c:v>
                </c:pt>
                <c:pt idx="310">
                  <c:v>192.83628290596178</c:v>
                </c:pt>
                <c:pt idx="311">
                  <c:v>196.81770869715211</c:v>
                </c:pt>
                <c:pt idx="312">
                  <c:v>200.73918190765733</c:v>
                </c:pt>
                <c:pt idx="313">
                  <c:v>204.59950801874942</c:v>
                </c:pt>
                <c:pt idx="314">
                  <c:v>208.39751113769898</c:v>
                </c:pt>
                <c:pt idx="315">
                  <c:v>212.13203435596421</c:v>
                </c:pt>
                <c:pt idx="316">
                  <c:v>215.80194010159525</c:v>
                </c:pt>
                <c:pt idx="317">
                  <c:v>219.40611048575121</c:v>
                </c:pt>
                <c:pt idx="318">
                  <c:v>222.94344764321826</c:v>
                </c:pt>
                <c:pt idx="319">
                  <c:v>226.41287406683156</c:v>
                </c:pt>
                <c:pt idx="320">
                  <c:v>229.81333293569332</c:v>
                </c:pt>
                <c:pt idx="321">
                  <c:v>233.14378843709116</c:v>
                </c:pt>
                <c:pt idx="322">
                  <c:v>236.40322608201646</c:v>
                </c:pt>
                <c:pt idx="323">
                  <c:v>239.59065301418784</c:v>
                </c:pt>
                <c:pt idx="324">
                  <c:v>242.70509831248421</c:v>
                </c:pt>
                <c:pt idx="325">
                  <c:v>245.74561328669748</c:v>
                </c:pt>
                <c:pt idx="326">
                  <c:v>248.71127176651243</c:v>
                </c:pt>
                <c:pt idx="327">
                  <c:v>251.60117038362722</c:v>
                </c:pt>
                <c:pt idx="328">
                  <c:v>254.41442884692762</c:v>
                </c:pt>
                <c:pt idx="329">
                  <c:v>257.15019021063364</c:v>
                </c:pt>
                <c:pt idx="330">
                  <c:v>259.80762113533149</c:v>
                </c:pt>
                <c:pt idx="331">
                  <c:v>262.38591214181878</c:v>
                </c:pt>
                <c:pt idx="332">
                  <c:v>264.88427785767806</c:v>
                </c:pt>
                <c:pt idx="333">
                  <c:v>267.30195725651032</c:v>
                </c:pt>
                <c:pt idx="334">
                  <c:v>269.63821388975015</c:v>
                </c:pt>
                <c:pt idx="335">
                  <c:v>271.8923361109949</c:v>
                </c:pt>
                <c:pt idx="336">
                  <c:v>274.0636372927803</c:v>
                </c:pt>
                <c:pt idx="337">
                  <c:v>276.151456035732</c:v>
                </c:pt>
                <c:pt idx="338">
                  <c:v>278.1551563700362</c:v>
                </c:pt>
                <c:pt idx="339">
                  <c:v>280.07412794916047</c:v>
                </c:pt>
                <c:pt idx="340">
                  <c:v>281.90778623577251</c:v>
                </c:pt>
                <c:pt idx="341">
                  <c:v>283.65557267979494</c:v>
                </c:pt>
                <c:pt idx="342">
                  <c:v>285.31695488854604</c:v>
                </c:pt>
                <c:pt idx="343">
                  <c:v>286.89142678891068</c:v>
                </c:pt>
                <c:pt idx="344">
                  <c:v>288.37850878149561</c:v>
                </c:pt>
                <c:pt idx="345">
                  <c:v>289.77774788672048</c:v>
                </c:pt>
                <c:pt idx="346">
                  <c:v>291.08871788279896</c:v>
                </c:pt>
                <c:pt idx="347">
                  <c:v>292.31101943557053</c:v>
                </c:pt>
                <c:pt idx="348">
                  <c:v>293.44428022014165</c:v>
                </c:pt>
                <c:pt idx="349">
                  <c:v>294.48815503429921</c:v>
                </c:pt>
                <c:pt idx="350">
                  <c:v>295.44232590366238</c:v>
                </c:pt>
                <c:pt idx="351">
                  <c:v>296.30650217854128</c:v>
                </c:pt>
                <c:pt idx="352">
                  <c:v>297.08042062247108</c:v>
                </c:pt>
                <c:pt idx="353">
                  <c:v>297.76384549239657</c:v>
                </c:pt>
                <c:pt idx="354">
                  <c:v>298.35656861048199</c:v>
                </c:pt>
                <c:pt idx="355">
                  <c:v>298.85840942752367</c:v>
                </c:pt>
                <c:pt idx="356">
                  <c:v>299.26921507794731</c:v>
                </c:pt>
                <c:pt idx="357">
                  <c:v>299.58886042637215</c:v>
                </c:pt>
                <c:pt idx="358">
                  <c:v>299.81724810572871</c:v>
                </c:pt>
                <c:pt idx="359">
                  <c:v>299.95430854691739</c:v>
                </c:pt>
                <c:pt idx="360">
                  <c:v>300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8D8-4176-9017-F4D9D0DE5634}"/>
            </c:ext>
          </c:extLst>
        </c:ser>
        <c:ser>
          <c:idx val="3"/>
          <c:order val="3"/>
          <c:tx>
            <c:strRef>
              <c:f>Aufsicht!$AH$8</c:f>
              <c:strCache>
                <c:ptCount val="1"/>
                <c:pt idx="0">
                  <c:v>1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Aufsicht!$AK$8:$AK$9</c:f>
            </c:numRef>
          </c:xVal>
          <c:yVal>
            <c:numRef>
              <c:f>Aufsicht!$AL$8:$AL$9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38D8-4176-9017-F4D9D0DE5634}"/>
            </c:ext>
          </c:extLst>
        </c:ser>
        <c:ser>
          <c:idx val="4"/>
          <c:order val="4"/>
          <c:tx>
            <c:strRef>
              <c:f>Aufsicht!$AH$10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strRef>
              <c:f>Aufsicht!$AK$10:$AK$11</c:f>
              <c:strCache>
                <c:ptCount val="2"/>
                <c:pt idx="1">
                  <c:v>#NV</c:v>
                </c:pt>
              </c:strCache>
            </c:strRef>
          </c:xVal>
          <c:yVal>
            <c:numRef>
              <c:f>Aufsicht!$AL$10:$AL$11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38D8-4176-9017-F4D9D0DE5634}"/>
            </c:ext>
          </c:extLst>
        </c:ser>
        <c:ser>
          <c:idx val="5"/>
          <c:order val="5"/>
          <c:tx>
            <c:strRef>
              <c:f>Aufsicht!$AH$12</c:f>
              <c:strCache>
                <c:ptCount val="1"/>
                <c:pt idx="0">
                  <c:v>3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Aufsicht!$AK$12:$AK$13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Aufsicht!$AL$12:$AL$13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38D8-4176-9017-F4D9D0DE5634}"/>
            </c:ext>
          </c:extLst>
        </c:ser>
        <c:ser>
          <c:idx val="6"/>
          <c:order val="6"/>
          <c:tx>
            <c:strRef>
              <c:f>Aufsicht!$AH$14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Aufsicht!$AK$14:$AK$15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Aufsicht!$AL$14:$AL$15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8D8-4176-9017-F4D9D0DE5634}"/>
            </c:ext>
          </c:extLst>
        </c:ser>
        <c:ser>
          <c:idx val="7"/>
          <c:order val="7"/>
          <c:tx>
            <c:strRef>
              <c:f>Aufsicht!$AH$16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Aufsicht!$AK$16:$AK$17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Aufsicht!$AL$16:$AL$17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38D8-4176-9017-F4D9D0DE5634}"/>
            </c:ext>
          </c:extLst>
        </c:ser>
        <c:ser>
          <c:idx val="8"/>
          <c:order val="8"/>
          <c:tx>
            <c:strRef>
              <c:f>Aufsicht!$AH$18</c:f>
              <c:strCache>
                <c:ptCount val="1"/>
                <c:pt idx="0">
                  <c:v>6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Aufsicht!$AK$18:$AK$19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Aufsicht!$AL$18:$AL$19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38D8-4176-9017-F4D9D0DE5634}"/>
            </c:ext>
          </c:extLst>
        </c:ser>
        <c:ser>
          <c:idx val="9"/>
          <c:order val="9"/>
          <c:tx>
            <c:strRef>
              <c:f>Aufsicht!$AH$20</c:f>
              <c:strCache>
                <c:ptCount val="1"/>
                <c:pt idx="0">
                  <c:v>7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Aufsicht!$AK$20:$AK$21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Aufsicht!$AL$20:$AL$21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38D8-4176-9017-F4D9D0DE5634}"/>
            </c:ext>
          </c:extLst>
        </c:ser>
        <c:ser>
          <c:idx val="10"/>
          <c:order val="10"/>
          <c:tx>
            <c:strRef>
              <c:f>Aufsicht!$AH$22</c:f>
              <c:strCache>
                <c:ptCount val="1"/>
                <c:pt idx="0">
                  <c:v>8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Aufsicht!$AK$22:$AK$23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Aufsicht!$AL$22:$AL$23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38D8-4176-9017-F4D9D0DE5634}"/>
            </c:ext>
          </c:extLst>
        </c:ser>
        <c:ser>
          <c:idx val="11"/>
          <c:order val="11"/>
          <c:tx>
            <c:strRef>
              <c:f>Aufsicht!$AH$24</c:f>
              <c:strCache>
                <c:ptCount val="1"/>
                <c:pt idx="0">
                  <c:v>El Rohr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rgbClr val="0070C0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8D8-4176-9017-F4D9D0DE5634}"/>
              </c:ext>
            </c:extLst>
          </c:dPt>
          <c:xVal>
            <c:numRef>
              <c:f>Aufsicht!$AK$24:$AK$25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Aufsicht!$AL$24:$AL$25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38D8-4176-9017-F4D9D0DE5634}"/>
            </c:ext>
          </c:extLst>
        </c:ser>
        <c:ser>
          <c:idx val="12"/>
          <c:order val="12"/>
          <c:tx>
            <c:v>Einlauffrei1</c:v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Aufsicht!$AZ$11:$AZ$189</c:f>
              <c:numCache>
                <c:formatCode>General</c:formatCode>
                <c:ptCount val="179"/>
                <c:pt idx="0">
                  <c:v>699.89338660947385</c:v>
                </c:pt>
                <c:pt idx="1">
                  <c:v>699.57357891336699</c:v>
                </c:pt>
                <c:pt idx="2">
                  <c:v>699.0406743282017</c:v>
                </c:pt>
                <c:pt idx="3">
                  <c:v>698.29483518187692</c:v>
                </c:pt>
                <c:pt idx="4">
                  <c:v>697.33628866422191</c:v>
                </c:pt>
                <c:pt idx="5">
                  <c:v>696.16532675779126</c:v>
                </c:pt>
                <c:pt idx="6">
                  <c:v>694.78230614892539</c:v>
                </c:pt>
                <c:pt idx="7">
                  <c:v>693.18764811909921</c:v>
                </c:pt>
                <c:pt idx="8">
                  <c:v>691.38183841659645</c:v>
                </c:pt>
                <c:pt idx="9">
                  <c:v>689.36542710854565</c:v>
                </c:pt>
                <c:pt idx="10">
                  <c:v>687.13902841336483</c:v>
                </c:pt>
                <c:pt idx="11">
                  <c:v>684.70332051366404</c:v>
                </c:pt>
                <c:pt idx="12">
                  <c:v>682.05904534966464</c:v>
                </c:pt>
                <c:pt idx="13">
                  <c:v>679.2070083931975</c:v>
                </c:pt>
                <c:pt idx="14">
                  <c:v>676.14807840234778</c:v>
                </c:pt>
                <c:pt idx="15">
                  <c:v>672.88318715682317</c:v>
                </c:pt>
                <c:pt idx="16">
                  <c:v>669.41332917412478</c:v>
                </c:pt>
                <c:pt idx="17">
                  <c:v>665.73956140660744</c:v>
                </c:pt>
                <c:pt idx="18">
                  <c:v>661.86300291952182</c:v>
                </c:pt>
                <c:pt idx="19">
                  <c:v>657.78483455013588</c:v>
                </c:pt>
                <c:pt idx="20">
                  <c:v>653.50629854804117</c:v>
                </c:pt>
                <c:pt idx="21">
                  <c:v>649.02869819675118</c:v>
                </c:pt>
                <c:pt idx="22">
                  <c:v>644.35339741670828</c:v>
                </c:pt>
                <c:pt idx="23">
                  <c:v>639.48182034982062</c:v>
                </c:pt>
                <c:pt idx="24">
                  <c:v>634.41545092565491</c:v>
                </c:pt>
                <c:pt idx="25">
                  <c:v>629.15583240941692</c:v>
                </c:pt>
                <c:pt idx="26">
                  <c:v>623.70456693185758</c:v>
                </c:pt>
                <c:pt idx="27">
                  <c:v>618.06331500124884</c:v>
                </c:pt>
                <c:pt idx="28">
                  <c:v>612.23379499757698</c:v>
                </c:pt>
                <c:pt idx="29">
                  <c:v>606.21778264910711</c:v>
                </c:pt>
                <c:pt idx="30">
                  <c:v>600.01711049147866</c:v>
                </c:pt>
                <c:pt idx="31">
                  <c:v>593.63366730949815</c:v>
                </c:pt>
                <c:pt idx="32">
                  <c:v>587.06939756179679</c:v>
                </c:pt>
                <c:pt idx="33">
                  <c:v>580.32630078852912</c:v>
                </c:pt>
                <c:pt idx="34">
                  <c:v>573.40643100229431</c:v>
                </c:pt>
                <c:pt idx="35">
                  <c:v>566.31189606246323</c:v>
                </c:pt>
                <c:pt idx="36">
                  <c:v>559.04485703310502</c:v>
                </c:pt>
                <c:pt idx="37">
                  <c:v>551.60752752470546</c:v>
                </c:pt>
                <c:pt idx="38">
                  <c:v>544.00217301987959</c:v>
                </c:pt>
                <c:pt idx="39">
                  <c:v>536.23111018328461</c:v>
                </c:pt>
                <c:pt idx="40">
                  <c:v>528.29670615594046</c:v>
                </c:pt>
                <c:pt idx="41">
                  <c:v>520.20137783417601</c:v>
                </c:pt>
                <c:pt idx="42">
                  <c:v>511.94759113341939</c:v>
                </c:pt>
                <c:pt idx="43">
                  <c:v>503.53786023705584</c:v>
                </c:pt>
                <c:pt idx="44">
                  <c:v>494.97474683058329</c:v>
                </c:pt>
                <c:pt idx="45">
                  <c:v>494.97474683058329</c:v>
                </c:pt>
                <c:pt idx="46">
                  <c:v>494.97474683058329</c:v>
                </c:pt>
                <c:pt idx="47">
                  <c:v>494.97474683058329</c:v>
                </c:pt>
                <c:pt idx="48">
                  <c:v>494.97474683058329</c:v>
                </c:pt>
                <c:pt idx="49">
                  <c:v>494.97474683058329</c:v>
                </c:pt>
                <c:pt idx="50">
                  <c:v>494.97474683058329</c:v>
                </c:pt>
                <c:pt idx="51">
                  <c:v>494.97474683058329</c:v>
                </c:pt>
                <c:pt idx="52">
                  <c:v>494.97474683058329</c:v>
                </c:pt>
                <c:pt idx="53">
                  <c:v>494.97474683058329</c:v>
                </c:pt>
                <c:pt idx="54">
                  <c:v>494.97474683058329</c:v>
                </c:pt>
                <c:pt idx="55">
                  <c:v>494.97474683058329</c:v>
                </c:pt>
                <c:pt idx="56">
                  <c:v>494.97474683058329</c:v>
                </c:pt>
                <c:pt idx="57">
                  <c:v>494.97474683058329</c:v>
                </c:pt>
                <c:pt idx="58">
                  <c:v>494.97474683058329</c:v>
                </c:pt>
                <c:pt idx="59">
                  <c:v>494.97474683058329</c:v>
                </c:pt>
                <c:pt idx="60">
                  <c:v>494.97474683058329</c:v>
                </c:pt>
                <c:pt idx="61">
                  <c:v>494.97474683058329</c:v>
                </c:pt>
                <c:pt idx="62">
                  <c:v>494.97474683058329</c:v>
                </c:pt>
                <c:pt idx="63">
                  <c:v>494.97474683058329</c:v>
                </c:pt>
                <c:pt idx="64">
                  <c:v>494.97474683058329</c:v>
                </c:pt>
                <c:pt idx="65">
                  <c:v>494.97474683058329</c:v>
                </c:pt>
                <c:pt idx="66">
                  <c:v>494.97474683058329</c:v>
                </c:pt>
                <c:pt idx="67">
                  <c:v>494.97474683058329</c:v>
                </c:pt>
                <c:pt idx="68">
                  <c:v>494.97474683058329</c:v>
                </c:pt>
                <c:pt idx="69">
                  <c:v>494.97474683058329</c:v>
                </c:pt>
                <c:pt idx="70">
                  <c:v>494.97474683058329</c:v>
                </c:pt>
                <c:pt idx="71">
                  <c:v>494.97474683058329</c:v>
                </c:pt>
                <c:pt idx="72">
                  <c:v>494.97474683058329</c:v>
                </c:pt>
                <c:pt idx="73">
                  <c:v>494.97474683058329</c:v>
                </c:pt>
                <c:pt idx="74">
                  <c:v>494.97474683058329</c:v>
                </c:pt>
                <c:pt idx="75">
                  <c:v>494.97474683058329</c:v>
                </c:pt>
                <c:pt idx="76">
                  <c:v>494.97474683058329</c:v>
                </c:pt>
                <c:pt idx="77">
                  <c:v>494.97474683058329</c:v>
                </c:pt>
                <c:pt idx="78">
                  <c:v>494.97474683058329</c:v>
                </c:pt>
                <c:pt idx="79">
                  <c:v>494.97474683058329</c:v>
                </c:pt>
                <c:pt idx="80">
                  <c:v>494.97474683058329</c:v>
                </c:pt>
                <c:pt idx="81">
                  <c:v>494.97474683058329</c:v>
                </c:pt>
                <c:pt idx="82">
                  <c:v>494.97474683058329</c:v>
                </c:pt>
                <c:pt idx="83">
                  <c:v>494.97474683058329</c:v>
                </c:pt>
                <c:pt idx="84">
                  <c:v>494.97474683058329</c:v>
                </c:pt>
                <c:pt idx="85">
                  <c:v>494.97474683058329</c:v>
                </c:pt>
                <c:pt idx="86">
                  <c:v>494.97474683058329</c:v>
                </c:pt>
                <c:pt idx="87">
                  <c:v>494.97474683058329</c:v>
                </c:pt>
                <c:pt idx="88">
                  <c:v>494.97474683058329</c:v>
                </c:pt>
                <c:pt idx="89">
                  <c:v>494.97474683058329</c:v>
                </c:pt>
                <c:pt idx="90">
                  <c:v>494.97474683058329</c:v>
                </c:pt>
                <c:pt idx="91">
                  <c:v>494.97474683058329</c:v>
                </c:pt>
                <c:pt idx="92">
                  <c:v>494.97474683058329</c:v>
                </c:pt>
                <c:pt idx="93">
                  <c:v>494.97474683058329</c:v>
                </c:pt>
                <c:pt idx="94">
                  <c:v>494.97474683058329</c:v>
                </c:pt>
                <c:pt idx="95">
                  <c:v>494.97474683058329</c:v>
                </c:pt>
                <c:pt idx="96">
                  <c:v>494.97474683058329</c:v>
                </c:pt>
                <c:pt idx="97">
                  <c:v>494.97474683058329</c:v>
                </c:pt>
                <c:pt idx="98">
                  <c:v>494.97474683058329</c:v>
                </c:pt>
                <c:pt idx="99">
                  <c:v>494.97474683058329</c:v>
                </c:pt>
                <c:pt idx="100">
                  <c:v>494.97474683058329</c:v>
                </c:pt>
                <c:pt idx="101">
                  <c:v>494.97474683058329</c:v>
                </c:pt>
                <c:pt idx="102">
                  <c:v>494.97474683058329</c:v>
                </c:pt>
                <c:pt idx="103">
                  <c:v>494.97474683058329</c:v>
                </c:pt>
                <c:pt idx="104">
                  <c:v>494.97474683058329</c:v>
                </c:pt>
                <c:pt idx="105">
                  <c:v>494.97474683058329</c:v>
                </c:pt>
                <c:pt idx="106">
                  <c:v>494.97474683058329</c:v>
                </c:pt>
                <c:pt idx="107">
                  <c:v>494.97474683058329</c:v>
                </c:pt>
                <c:pt idx="108">
                  <c:v>494.97474683058329</c:v>
                </c:pt>
                <c:pt idx="109">
                  <c:v>494.97474683058329</c:v>
                </c:pt>
                <c:pt idx="110">
                  <c:v>494.97474683058329</c:v>
                </c:pt>
                <c:pt idx="111">
                  <c:v>494.97474683058329</c:v>
                </c:pt>
                <c:pt idx="112">
                  <c:v>494.97474683058329</c:v>
                </c:pt>
                <c:pt idx="113">
                  <c:v>494.97474683058329</c:v>
                </c:pt>
                <c:pt idx="114">
                  <c:v>494.97474683058329</c:v>
                </c:pt>
                <c:pt idx="115">
                  <c:v>494.97474683058329</c:v>
                </c:pt>
                <c:pt idx="116">
                  <c:v>494.97474683058329</c:v>
                </c:pt>
                <c:pt idx="117">
                  <c:v>494.97474683058329</c:v>
                </c:pt>
                <c:pt idx="118">
                  <c:v>494.97474683058329</c:v>
                </c:pt>
                <c:pt idx="119">
                  <c:v>494.97474683058329</c:v>
                </c:pt>
                <c:pt idx="120">
                  <c:v>494.97474683058329</c:v>
                </c:pt>
                <c:pt idx="121">
                  <c:v>494.97474683058329</c:v>
                </c:pt>
                <c:pt idx="122">
                  <c:v>494.97474683058329</c:v>
                </c:pt>
                <c:pt idx="123">
                  <c:v>494.97474683058329</c:v>
                </c:pt>
                <c:pt idx="124">
                  <c:v>494.97474683058329</c:v>
                </c:pt>
                <c:pt idx="125">
                  <c:v>494.97474683058329</c:v>
                </c:pt>
                <c:pt idx="126">
                  <c:v>494.97474683058329</c:v>
                </c:pt>
                <c:pt idx="127">
                  <c:v>494.97474683058329</c:v>
                </c:pt>
                <c:pt idx="128">
                  <c:v>494.97474683058329</c:v>
                </c:pt>
                <c:pt idx="129">
                  <c:v>494.97474683058329</c:v>
                </c:pt>
                <c:pt idx="130">
                  <c:v>494.97474683058329</c:v>
                </c:pt>
                <c:pt idx="131">
                  <c:v>494.97474683058329</c:v>
                </c:pt>
                <c:pt idx="132">
                  <c:v>494.97474683058329</c:v>
                </c:pt>
                <c:pt idx="133">
                  <c:v>494.97474683058329</c:v>
                </c:pt>
                <c:pt idx="134">
                  <c:v>494.97474683058329</c:v>
                </c:pt>
                <c:pt idx="135">
                  <c:v>494.97474683058329</c:v>
                </c:pt>
                <c:pt idx="136">
                  <c:v>494.97474683058329</c:v>
                </c:pt>
                <c:pt idx="137">
                  <c:v>494.97474683058329</c:v>
                </c:pt>
                <c:pt idx="138">
                  <c:v>494.97474683058329</c:v>
                </c:pt>
                <c:pt idx="139">
                  <c:v>494.97474683058329</c:v>
                </c:pt>
                <c:pt idx="140">
                  <c:v>494.97474683058329</c:v>
                </c:pt>
                <c:pt idx="141">
                  <c:v>494.97474683058329</c:v>
                </c:pt>
                <c:pt idx="142">
                  <c:v>494.97474683058329</c:v>
                </c:pt>
                <c:pt idx="143">
                  <c:v>494.97474683058329</c:v>
                </c:pt>
                <c:pt idx="144">
                  <c:v>494.97474683058329</c:v>
                </c:pt>
                <c:pt idx="145">
                  <c:v>494.97474683058329</c:v>
                </c:pt>
                <c:pt idx="146">
                  <c:v>494.97474683058329</c:v>
                </c:pt>
                <c:pt idx="147">
                  <c:v>494.97474683058329</c:v>
                </c:pt>
                <c:pt idx="148">
                  <c:v>494.97474683058329</c:v>
                </c:pt>
                <c:pt idx="149">
                  <c:v>494.97474683058329</c:v>
                </c:pt>
                <c:pt idx="150">
                  <c:v>494.97474683058329</c:v>
                </c:pt>
                <c:pt idx="151">
                  <c:v>494.97474683058329</c:v>
                </c:pt>
                <c:pt idx="152">
                  <c:v>494.97474683058329</c:v>
                </c:pt>
                <c:pt idx="153">
                  <c:v>494.97474683058329</c:v>
                </c:pt>
                <c:pt idx="154">
                  <c:v>494.97474683058329</c:v>
                </c:pt>
                <c:pt idx="155">
                  <c:v>494.97474683058329</c:v>
                </c:pt>
                <c:pt idx="156">
                  <c:v>494.97474683058329</c:v>
                </c:pt>
                <c:pt idx="157">
                  <c:v>494.97474683058329</c:v>
                </c:pt>
                <c:pt idx="158">
                  <c:v>494.97474683058329</c:v>
                </c:pt>
                <c:pt idx="159">
                  <c:v>494.97474683058329</c:v>
                </c:pt>
                <c:pt idx="160">
                  <c:v>494.97474683058329</c:v>
                </c:pt>
                <c:pt idx="161">
                  <c:v>494.97474683058329</c:v>
                </c:pt>
                <c:pt idx="162">
                  <c:v>494.97474683058329</c:v>
                </c:pt>
                <c:pt idx="163">
                  <c:v>494.97474683058329</c:v>
                </c:pt>
                <c:pt idx="164">
                  <c:v>494.97474683058329</c:v>
                </c:pt>
                <c:pt idx="165">
                  <c:v>494.97474683058329</c:v>
                </c:pt>
                <c:pt idx="166">
                  <c:v>494.97474683058329</c:v>
                </c:pt>
                <c:pt idx="167">
                  <c:v>494.97474683058329</c:v>
                </c:pt>
                <c:pt idx="168">
                  <c:v>494.97474683058329</c:v>
                </c:pt>
                <c:pt idx="169">
                  <c:v>494.97474683058329</c:v>
                </c:pt>
                <c:pt idx="170">
                  <c:v>494.97474683058329</c:v>
                </c:pt>
                <c:pt idx="171">
                  <c:v>494.97474683058329</c:v>
                </c:pt>
                <c:pt idx="172">
                  <c:v>494.97474683058329</c:v>
                </c:pt>
                <c:pt idx="173">
                  <c:v>494.97474683058329</c:v>
                </c:pt>
                <c:pt idx="174">
                  <c:v>494.97474683058329</c:v>
                </c:pt>
                <c:pt idx="175">
                  <c:v>494.97474683058329</c:v>
                </c:pt>
                <c:pt idx="176">
                  <c:v>494.97474683058329</c:v>
                </c:pt>
                <c:pt idx="177">
                  <c:v>494.97474683058329</c:v>
                </c:pt>
                <c:pt idx="178">
                  <c:v>494.97474683058329</c:v>
                </c:pt>
              </c:numCache>
            </c:numRef>
          </c:xVal>
          <c:yVal>
            <c:numRef>
              <c:f>Aufsicht!$BA$11:$BA$189</c:f>
              <c:numCache>
                <c:formatCode>General</c:formatCode>
                <c:ptCount val="179"/>
                <c:pt idx="0">
                  <c:v>12.216684506098458</c:v>
                </c:pt>
                <c:pt idx="1">
                  <c:v>24.429647691750677</c:v>
                </c:pt>
                <c:pt idx="2">
                  <c:v>36.63516937006068</c:v>
                </c:pt>
                <c:pt idx="3">
                  <c:v>48.829531620887714</c:v>
                </c:pt>
                <c:pt idx="4">
                  <c:v>61.009019923360718</c:v>
                </c:pt>
                <c:pt idx="5">
                  <c:v>73.169924287357418</c:v>
                </c:pt>
                <c:pt idx="6">
                  <c:v>85.30854038360323</c:v>
                </c:pt>
                <c:pt idx="7">
                  <c:v>97.421170672045804</c:v>
                </c:pt>
                <c:pt idx="8">
                  <c:v>109.50412552816161</c:v>
                </c:pt>
                <c:pt idx="9">
                  <c:v>121.55372436685123</c:v>
                </c:pt>
                <c:pt idx="10">
                  <c:v>133.56629676358136</c:v>
                </c:pt>
                <c:pt idx="11">
                  <c:v>145.53818357243151</c:v>
                </c:pt>
                <c:pt idx="12">
                  <c:v>157.4657380407055</c:v>
                </c:pt>
                <c:pt idx="13">
                  <c:v>169.34532691976742</c:v>
                </c:pt>
                <c:pt idx="14">
                  <c:v>181.17333157176452</c:v>
                </c:pt>
                <c:pt idx="15">
                  <c:v>192.94614907189941</c:v>
                </c:pt>
                <c:pt idx="16">
                  <c:v>204.66019330591573</c:v>
                </c:pt>
                <c:pt idx="17">
                  <c:v>216.31189606246318</c:v>
                </c:pt>
                <c:pt idx="18">
                  <c:v>227.89770812000964</c:v>
                </c:pt>
                <c:pt idx="19">
                  <c:v>239.4141003279681</c:v>
                </c:pt>
                <c:pt idx="20">
                  <c:v>250.85756468171019</c:v>
                </c:pt>
                <c:pt idx="21">
                  <c:v>262.2246153911384</c:v>
                </c:pt>
                <c:pt idx="22">
                  <c:v>273.51178994249159</c:v>
                </c:pt>
                <c:pt idx="23">
                  <c:v>284.7156501530601</c:v>
                </c:pt>
                <c:pt idx="24">
                  <c:v>295.83278321848962</c:v>
                </c:pt>
                <c:pt idx="25">
                  <c:v>306.8598027523542</c:v>
                </c:pt>
                <c:pt idx="26">
                  <c:v>317.79334981768272</c:v>
                </c:pt>
                <c:pt idx="27">
                  <c:v>328.63009395012358</c:v>
                </c:pt>
                <c:pt idx="28">
                  <c:v>339.36673417243594</c:v>
                </c:pt>
                <c:pt idx="29">
                  <c:v>349.99999999999994</c:v>
                </c:pt>
                <c:pt idx="30">
                  <c:v>360.52665243703791</c:v>
                </c:pt>
                <c:pt idx="31">
                  <c:v>370.94348496324341</c:v>
                </c:pt>
                <c:pt idx="32">
                  <c:v>381.24732451051898</c:v>
                </c:pt>
                <c:pt idx="33">
                  <c:v>391.43503242952283</c:v>
                </c:pt>
                <c:pt idx="34">
                  <c:v>401.50350544573223</c:v>
                </c:pt>
                <c:pt idx="35">
                  <c:v>411.44967660473122</c:v>
                </c:pt>
                <c:pt idx="36">
                  <c:v>421.2705162064338</c:v>
                </c:pt>
                <c:pt idx="37">
                  <c:v>430.96303272796075</c:v>
                </c:pt>
                <c:pt idx="38">
                  <c:v>440.52427373488615</c:v>
                </c:pt>
                <c:pt idx="39">
                  <c:v>449.95132678057746</c:v>
                </c:pt>
                <c:pt idx="40">
                  <c:v>459.24132029335499</c:v>
                </c:pt>
                <c:pt idx="41">
                  <c:v>468.39142445120075</c:v>
                </c:pt>
                <c:pt idx="42">
                  <c:v>477.39885204374895</c:v>
                </c:pt>
                <c:pt idx="43">
                  <c:v>486.26085932129808</c:v>
                </c:pt>
                <c:pt idx="44">
                  <c:v>494.97474683058323</c:v>
                </c:pt>
                <c:pt idx="45">
                  <c:v>494.97474683058323</c:v>
                </c:pt>
                <c:pt idx="46">
                  <c:v>494.97474683058323</c:v>
                </c:pt>
                <c:pt idx="47">
                  <c:v>494.97474683058323</c:v>
                </c:pt>
                <c:pt idx="48">
                  <c:v>494.97474683058323</c:v>
                </c:pt>
                <c:pt idx="49">
                  <c:v>494.97474683058323</c:v>
                </c:pt>
                <c:pt idx="50">
                  <c:v>494.97474683058323</c:v>
                </c:pt>
                <c:pt idx="51">
                  <c:v>494.97474683058323</c:v>
                </c:pt>
                <c:pt idx="52">
                  <c:v>494.97474683058323</c:v>
                </c:pt>
                <c:pt idx="53">
                  <c:v>494.97474683058323</c:v>
                </c:pt>
                <c:pt idx="54">
                  <c:v>494.97474683058323</c:v>
                </c:pt>
                <c:pt idx="55">
                  <c:v>494.97474683058323</c:v>
                </c:pt>
                <c:pt idx="56">
                  <c:v>494.97474683058323</c:v>
                </c:pt>
                <c:pt idx="57">
                  <c:v>494.97474683058323</c:v>
                </c:pt>
                <c:pt idx="58">
                  <c:v>494.97474683058323</c:v>
                </c:pt>
                <c:pt idx="59">
                  <c:v>494.97474683058323</c:v>
                </c:pt>
                <c:pt idx="60">
                  <c:v>494.97474683058323</c:v>
                </c:pt>
                <c:pt idx="61">
                  <c:v>494.97474683058323</c:v>
                </c:pt>
                <c:pt idx="62">
                  <c:v>494.97474683058323</c:v>
                </c:pt>
                <c:pt idx="63">
                  <c:v>494.97474683058323</c:v>
                </c:pt>
                <c:pt idx="64">
                  <c:v>494.97474683058323</c:v>
                </c:pt>
                <c:pt idx="65">
                  <c:v>494.97474683058323</c:v>
                </c:pt>
                <c:pt idx="66">
                  <c:v>494.97474683058323</c:v>
                </c:pt>
                <c:pt idx="67">
                  <c:v>494.97474683058323</c:v>
                </c:pt>
                <c:pt idx="68">
                  <c:v>494.97474683058323</c:v>
                </c:pt>
                <c:pt idx="69">
                  <c:v>494.97474683058323</c:v>
                </c:pt>
                <c:pt idx="70">
                  <c:v>494.97474683058323</c:v>
                </c:pt>
                <c:pt idx="71">
                  <c:v>494.97474683058323</c:v>
                </c:pt>
                <c:pt idx="72">
                  <c:v>494.97474683058323</c:v>
                </c:pt>
                <c:pt idx="73">
                  <c:v>494.97474683058323</c:v>
                </c:pt>
                <c:pt idx="74">
                  <c:v>494.97474683058323</c:v>
                </c:pt>
                <c:pt idx="75">
                  <c:v>494.97474683058323</c:v>
                </c:pt>
                <c:pt idx="76">
                  <c:v>494.97474683058323</c:v>
                </c:pt>
                <c:pt idx="77">
                  <c:v>494.97474683058323</c:v>
                </c:pt>
                <c:pt idx="78">
                  <c:v>494.97474683058323</c:v>
                </c:pt>
                <c:pt idx="79">
                  <c:v>494.97474683058323</c:v>
                </c:pt>
                <c:pt idx="80">
                  <c:v>494.97474683058323</c:v>
                </c:pt>
                <c:pt idx="81">
                  <c:v>494.97474683058323</c:v>
                </c:pt>
                <c:pt idx="82">
                  <c:v>494.97474683058323</c:v>
                </c:pt>
                <c:pt idx="83">
                  <c:v>494.97474683058323</c:v>
                </c:pt>
                <c:pt idx="84">
                  <c:v>494.97474683058323</c:v>
                </c:pt>
                <c:pt idx="85">
                  <c:v>494.97474683058323</c:v>
                </c:pt>
                <c:pt idx="86">
                  <c:v>494.97474683058323</c:v>
                </c:pt>
                <c:pt idx="87">
                  <c:v>494.97474683058323</c:v>
                </c:pt>
                <c:pt idx="88">
                  <c:v>494.97474683058323</c:v>
                </c:pt>
                <c:pt idx="89">
                  <c:v>494.97474683058323</c:v>
                </c:pt>
                <c:pt idx="90">
                  <c:v>494.97474683058323</c:v>
                </c:pt>
                <c:pt idx="91">
                  <c:v>494.97474683058323</c:v>
                </c:pt>
                <c:pt idx="92">
                  <c:v>494.97474683058323</c:v>
                </c:pt>
                <c:pt idx="93">
                  <c:v>494.97474683058323</c:v>
                </c:pt>
                <c:pt idx="94">
                  <c:v>494.97474683058323</c:v>
                </c:pt>
                <c:pt idx="95">
                  <c:v>494.97474683058323</c:v>
                </c:pt>
                <c:pt idx="96">
                  <c:v>494.97474683058323</c:v>
                </c:pt>
                <c:pt idx="97">
                  <c:v>494.97474683058323</c:v>
                </c:pt>
                <c:pt idx="98">
                  <c:v>494.97474683058323</c:v>
                </c:pt>
                <c:pt idx="99">
                  <c:v>494.97474683058323</c:v>
                </c:pt>
                <c:pt idx="100">
                  <c:v>494.97474683058323</c:v>
                </c:pt>
                <c:pt idx="101">
                  <c:v>494.97474683058323</c:v>
                </c:pt>
                <c:pt idx="102">
                  <c:v>494.97474683058323</c:v>
                </c:pt>
                <c:pt idx="103">
                  <c:v>494.97474683058323</c:v>
                </c:pt>
                <c:pt idx="104">
                  <c:v>494.97474683058323</c:v>
                </c:pt>
                <c:pt idx="105">
                  <c:v>494.97474683058323</c:v>
                </c:pt>
                <c:pt idx="106">
                  <c:v>494.97474683058323</c:v>
                </c:pt>
                <c:pt idx="107">
                  <c:v>494.97474683058323</c:v>
                </c:pt>
                <c:pt idx="108">
                  <c:v>494.97474683058323</c:v>
                </c:pt>
                <c:pt idx="109">
                  <c:v>494.97474683058323</c:v>
                </c:pt>
                <c:pt idx="110">
                  <c:v>494.97474683058323</c:v>
                </c:pt>
                <c:pt idx="111">
                  <c:v>494.97474683058323</c:v>
                </c:pt>
                <c:pt idx="112">
                  <c:v>494.97474683058323</c:v>
                </c:pt>
                <c:pt idx="113">
                  <c:v>494.97474683058323</c:v>
                </c:pt>
                <c:pt idx="114">
                  <c:v>494.97474683058323</c:v>
                </c:pt>
                <c:pt idx="115">
                  <c:v>494.97474683058323</c:v>
                </c:pt>
                <c:pt idx="116">
                  <c:v>494.97474683058323</c:v>
                </c:pt>
                <c:pt idx="117">
                  <c:v>494.97474683058323</c:v>
                </c:pt>
                <c:pt idx="118">
                  <c:v>494.97474683058323</c:v>
                </c:pt>
                <c:pt idx="119">
                  <c:v>494.97474683058323</c:v>
                </c:pt>
                <c:pt idx="120">
                  <c:v>494.97474683058323</c:v>
                </c:pt>
                <c:pt idx="121">
                  <c:v>494.97474683058323</c:v>
                </c:pt>
                <c:pt idx="122">
                  <c:v>494.97474683058323</c:v>
                </c:pt>
                <c:pt idx="123">
                  <c:v>494.97474683058323</c:v>
                </c:pt>
                <c:pt idx="124">
                  <c:v>494.97474683058323</c:v>
                </c:pt>
                <c:pt idx="125">
                  <c:v>494.97474683058323</c:v>
                </c:pt>
                <c:pt idx="126">
                  <c:v>494.97474683058323</c:v>
                </c:pt>
                <c:pt idx="127">
                  <c:v>494.97474683058323</c:v>
                </c:pt>
                <c:pt idx="128">
                  <c:v>494.97474683058323</c:v>
                </c:pt>
                <c:pt idx="129">
                  <c:v>494.97474683058323</c:v>
                </c:pt>
                <c:pt idx="130">
                  <c:v>494.97474683058323</c:v>
                </c:pt>
                <c:pt idx="131">
                  <c:v>494.97474683058323</c:v>
                </c:pt>
                <c:pt idx="132">
                  <c:v>494.97474683058323</c:v>
                </c:pt>
                <c:pt idx="133">
                  <c:v>494.97474683058323</c:v>
                </c:pt>
                <c:pt idx="134">
                  <c:v>494.97474683058323</c:v>
                </c:pt>
                <c:pt idx="135">
                  <c:v>494.97474683058323</c:v>
                </c:pt>
                <c:pt idx="136">
                  <c:v>494.97474683058323</c:v>
                </c:pt>
                <c:pt idx="137">
                  <c:v>494.97474683058323</c:v>
                </c:pt>
                <c:pt idx="138">
                  <c:v>494.97474683058323</c:v>
                </c:pt>
                <c:pt idx="139">
                  <c:v>494.97474683058323</c:v>
                </c:pt>
                <c:pt idx="140">
                  <c:v>494.97474683058323</c:v>
                </c:pt>
                <c:pt idx="141">
                  <c:v>494.97474683058323</c:v>
                </c:pt>
                <c:pt idx="142">
                  <c:v>494.97474683058323</c:v>
                </c:pt>
                <c:pt idx="143">
                  <c:v>494.97474683058323</c:v>
                </c:pt>
                <c:pt idx="144">
                  <c:v>494.97474683058323</c:v>
                </c:pt>
                <c:pt idx="145">
                  <c:v>494.97474683058323</c:v>
                </c:pt>
                <c:pt idx="146">
                  <c:v>494.97474683058323</c:v>
                </c:pt>
                <c:pt idx="147">
                  <c:v>494.97474683058323</c:v>
                </c:pt>
                <c:pt idx="148">
                  <c:v>494.97474683058323</c:v>
                </c:pt>
                <c:pt idx="149">
                  <c:v>494.97474683058323</c:v>
                </c:pt>
                <c:pt idx="150">
                  <c:v>494.97474683058323</c:v>
                </c:pt>
                <c:pt idx="151">
                  <c:v>494.97474683058323</c:v>
                </c:pt>
                <c:pt idx="152">
                  <c:v>494.97474683058323</c:v>
                </c:pt>
                <c:pt idx="153">
                  <c:v>494.97474683058323</c:v>
                </c:pt>
                <c:pt idx="154">
                  <c:v>494.97474683058323</c:v>
                </c:pt>
                <c:pt idx="155">
                  <c:v>494.97474683058323</c:v>
                </c:pt>
                <c:pt idx="156">
                  <c:v>494.97474683058323</c:v>
                </c:pt>
                <c:pt idx="157">
                  <c:v>494.97474683058323</c:v>
                </c:pt>
                <c:pt idx="158">
                  <c:v>494.97474683058323</c:v>
                </c:pt>
                <c:pt idx="159">
                  <c:v>494.97474683058323</c:v>
                </c:pt>
                <c:pt idx="160">
                  <c:v>494.97474683058323</c:v>
                </c:pt>
                <c:pt idx="161">
                  <c:v>494.97474683058323</c:v>
                </c:pt>
                <c:pt idx="162">
                  <c:v>494.97474683058323</c:v>
                </c:pt>
                <c:pt idx="163">
                  <c:v>494.97474683058323</c:v>
                </c:pt>
                <c:pt idx="164">
                  <c:v>494.97474683058323</c:v>
                </c:pt>
                <c:pt idx="165">
                  <c:v>494.97474683058323</c:v>
                </c:pt>
                <c:pt idx="166">
                  <c:v>494.97474683058323</c:v>
                </c:pt>
                <c:pt idx="167">
                  <c:v>494.97474683058323</c:v>
                </c:pt>
                <c:pt idx="168">
                  <c:v>494.97474683058323</c:v>
                </c:pt>
                <c:pt idx="169">
                  <c:v>494.97474683058323</c:v>
                </c:pt>
                <c:pt idx="170">
                  <c:v>494.97474683058323</c:v>
                </c:pt>
                <c:pt idx="171">
                  <c:v>494.97474683058323</c:v>
                </c:pt>
                <c:pt idx="172">
                  <c:v>494.97474683058323</c:v>
                </c:pt>
                <c:pt idx="173">
                  <c:v>494.97474683058323</c:v>
                </c:pt>
                <c:pt idx="174">
                  <c:v>494.97474683058323</c:v>
                </c:pt>
                <c:pt idx="175">
                  <c:v>494.97474683058323</c:v>
                </c:pt>
                <c:pt idx="176">
                  <c:v>494.97474683058323</c:v>
                </c:pt>
                <c:pt idx="177">
                  <c:v>494.97474683058323</c:v>
                </c:pt>
                <c:pt idx="178">
                  <c:v>494.97474683058323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38D8-4176-9017-F4D9D0DE5634}"/>
            </c:ext>
          </c:extLst>
        </c:ser>
        <c:ser>
          <c:idx val="13"/>
          <c:order val="13"/>
          <c:tx>
            <c:v>Einlauffrei2</c:v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Aufsicht!$AZ$191:$AZ$369</c:f>
              <c:numCache>
                <c:formatCode>General</c:formatCode>
                <c:ptCount val="179"/>
                <c:pt idx="0">
                  <c:v>494.97474683058317</c:v>
                </c:pt>
                <c:pt idx="1">
                  <c:v>494.97474683058317</c:v>
                </c:pt>
                <c:pt idx="2">
                  <c:v>494.97474683058317</c:v>
                </c:pt>
                <c:pt idx="3">
                  <c:v>494.97474683058317</c:v>
                </c:pt>
                <c:pt idx="4">
                  <c:v>494.97474683058317</c:v>
                </c:pt>
                <c:pt idx="5">
                  <c:v>494.97474683058317</c:v>
                </c:pt>
                <c:pt idx="6">
                  <c:v>494.97474683058317</c:v>
                </c:pt>
                <c:pt idx="7">
                  <c:v>494.97474683058317</c:v>
                </c:pt>
                <c:pt idx="8">
                  <c:v>494.97474683058317</c:v>
                </c:pt>
                <c:pt idx="9">
                  <c:v>494.97474683058317</c:v>
                </c:pt>
                <c:pt idx="10">
                  <c:v>494.97474683058317</c:v>
                </c:pt>
                <c:pt idx="11">
                  <c:v>494.97474683058317</c:v>
                </c:pt>
                <c:pt idx="12">
                  <c:v>494.97474683058317</c:v>
                </c:pt>
                <c:pt idx="13">
                  <c:v>494.97474683058317</c:v>
                </c:pt>
                <c:pt idx="14">
                  <c:v>494.97474683058317</c:v>
                </c:pt>
                <c:pt idx="15">
                  <c:v>494.97474683058317</c:v>
                </c:pt>
                <c:pt idx="16">
                  <c:v>494.97474683058317</c:v>
                </c:pt>
                <c:pt idx="17">
                  <c:v>494.97474683058317</c:v>
                </c:pt>
                <c:pt idx="18">
                  <c:v>494.97474683058317</c:v>
                </c:pt>
                <c:pt idx="19">
                  <c:v>494.97474683058317</c:v>
                </c:pt>
                <c:pt idx="20">
                  <c:v>494.97474683058317</c:v>
                </c:pt>
                <c:pt idx="21">
                  <c:v>494.97474683058317</c:v>
                </c:pt>
                <c:pt idx="22">
                  <c:v>494.97474683058317</c:v>
                </c:pt>
                <c:pt idx="23">
                  <c:v>494.97474683058317</c:v>
                </c:pt>
                <c:pt idx="24">
                  <c:v>494.97474683058317</c:v>
                </c:pt>
                <c:pt idx="25">
                  <c:v>494.97474683058317</c:v>
                </c:pt>
                <c:pt idx="26">
                  <c:v>494.97474683058317</c:v>
                </c:pt>
                <c:pt idx="27">
                  <c:v>494.97474683058317</c:v>
                </c:pt>
                <c:pt idx="28">
                  <c:v>494.97474683058317</c:v>
                </c:pt>
                <c:pt idx="29">
                  <c:v>494.97474683058317</c:v>
                </c:pt>
                <c:pt idx="30">
                  <c:v>494.97474683058317</c:v>
                </c:pt>
                <c:pt idx="31">
                  <c:v>494.97474683058317</c:v>
                </c:pt>
                <c:pt idx="32">
                  <c:v>494.97474683058317</c:v>
                </c:pt>
                <c:pt idx="33">
                  <c:v>494.97474683058317</c:v>
                </c:pt>
                <c:pt idx="34">
                  <c:v>494.97474683058317</c:v>
                </c:pt>
                <c:pt idx="35">
                  <c:v>494.97474683058317</c:v>
                </c:pt>
                <c:pt idx="36">
                  <c:v>494.97474683058317</c:v>
                </c:pt>
                <c:pt idx="37">
                  <c:v>494.97474683058317</c:v>
                </c:pt>
                <c:pt idx="38">
                  <c:v>494.97474683058317</c:v>
                </c:pt>
                <c:pt idx="39">
                  <c:v>494.97474683058317</c:v>
                </c:pt>
                <c:pt idx="40">
                  <c:v>494.97474683058317</c:v>
                </c:pt>
                <c:pt idx="41">
                  <c:v>494.97474683058317</c:v>
                </c:pt>
                <c:pt idx="42">
                  <c:v>494.97474683058317</c:v>
                </c:pt>
                <c:pt idx="43">
                  <c:v>494.97474683058317</c:v>
                </c:pt>
                <c:pt idx="44">
                  <c:v>494.97474683058317</c:v>
                </c:pt>
                <c:pt idx="45">
                  <c:v>494.97474683058317</c:v>
                </c:pt>
                <c:pt idx="46">
                  <c:v>494.97474683058317</c:v>
                </c:pt>
                <c:pt idx="47">
                  <c:v>494.97474683058317</c:v>
                </c:pt>
                <c:pt idx="48">
                  <c:v>494.97474683058317</c:v>
                </c:pt>
                <c:pt idx="49">
                  <c:v>494.97474683058317</c:v>
                </c:pt>
                <c:pt idx="50">
                  <c:v>494.97474683058317</c:v>
                </c:pt>
                <c:pt idx="51">
                  <c:v>494.97474683058317</c:v>
                </c:pt>
                <c:pt idx="52">
                  <c:v>494.97474683058317</c:v>
                </c:pt>
                <c:pt idx="53">
                  <c:v>494.97474683058317</c:v>
                </c:pt>
                <c:pt idx="54">
                  <c:v>494.97474683058317</c:v>
                </c:pt>
                <c:pt idx="55">
                  <c:v>494.97474683058317</c:v>
                </c:pt>
                <c:pt idx="56">
                  <c:v>494.97474683058317</c:v>
                </c:pt>
                <c:pt idx="57">
                  <c:v>494.97474683058317</c:v>
                </c:pt>
                <c:pt idx="58">
                  <c:v>494.97474683058317</c:v>
                </c:pt>
                <c:pt idx="59">
                  <c:v>494.97474683058317</c:v>
                </c:pt>
                <c:pt idx="60">
                  <c:v>494.97474683058317</c:v>
                </c:pt>
                <c:pt idx="61">
                  <c:v>494.97474683058317</c:v>
                </c:pt>
                <c:pt idx="62">
                  <c:v>494.97474683058317</c:v>
                </c:pt>
                <c:pt idx="63">
                  <c:v>494.97474683058317</c:v>
                </c:pt>
                <c:pt idx="64">
                  <c:v>494.97474683058317</c:v>
                </c:pt>
                <c:pt idx="65">
                  <c:v>494.97474683058317</c:v>
                </c:pt>
                <c:pt idx="66">
                  <c:v>494.97474683058317</c:v>
                </c:pt>
                <c:pt idx="67">
                  <c:v>494.97474683058317</c:v>
                </c:pt>
                <c:pt idx="68">
                  <c:v>494.97474683058317</c:v>
                </c:pt>
                <c:pt idx="69">
                  <c:v>494.97474683058317</c:v>
                </c:pt>
                <c:pt idx="70">
                  <c:v>494.97474683058317</c:v>
                </c:pt>
                <c:pt idx="71">
                  <c:v>494.97474683058317</c:v>
                </c:pt>
                <c:pt idx="72">
                  <c:v>494.97474683058317</c:v>
                </c:pt>
                <c:pt idx="73">
                  <c:v>494.97474683058317</c:v>
                </c:pt>
                <c:pt idx="74">
                  <c:v>494.97474683058317</c:v>
                </c:pt>
                <c:pt idx="75">
                  <c:v>494.97474683058317</c:v>
                </c:pt>
                <c:pt idx="76">
                  <c:v>494.97474683058317</c:v>
                </c:pt>
                <c:pt idx="77">
                  <c:v>494.97474683058317</c:v>
                </c:pt>
                <c:pt idx="78">
                  <c:v>494.97474683058317</c:v>
                </c:pt>
                <c:pt idx="79">
                  <c:v>494.97474683058317</c:v>
                </c:pt>
                <c:pt idx="80">
                  <c:v>494.97474683058317</c:v>
                </c:pt>
                <c:pt idx="81">
                  <c:v>494.97474683058317</c:v>
                </c:pt>
                <c:pt idx="82">
                  <c:v>494.97474683058317</c:v>
                </c:pt>
                <c:pt idx="83">
                  <c:v>494.97474683058317</c:v>
                </c:pt>
                <c:pt idx="84">
                  <c:v>494.97474683058317</c:v>
                </c:pt>
                <c:pt idx="85">
                  <c:v>494.97474683058317</c:v>
                </c:pt>
                <c:pt idx="86">
                  <c:v>494.97474683058317</c:v>
                </c:pt>
                <c:pt idx="87">
                  <c:v>494.97474683058317</c:v>
                </c:pt>
                <c:pt idx="88">
                  <c:v>494.97474683058317</c:v>
                </c:pt>
                <c:pt idx="89">
                  <c:v>494.97474683058317</c:v>
                </c:pt>
                <c:pt idx="90">
                  <c:v>494.97474683058317</c:v>
                </c:pt>
                <c:pt idx="91">
                  <c:v>494.97474683058317</c:v>
                </c:pt>
                <c:pt idx="92">
                  <c:v>494.97474683058317</c:v>
                </c:pt>
                <c:pt idx="93">
                  <c:v>494.97474683058317</c:v>
                </c:pt>
                <c:pt idx="94">
                  <c:v>494.97474683058317</c:v>
                </c:pt>
                <c:pt idx="95">
                  <c:v>494.97474683058317</c:v>
                </c:pt>
                <c:pt idx="96">
                  <c:v>494.97474683058317</c:v>
                </c:pt>
                <c:pt idx="97">
                  <c:v>494.97474683058317</c:v>
                </c:pt>
                <c:pt idx="98">
                  <c:v>494.97474683058317</c:v>
                </c:pt>
                <c:pt idx="99">
                  <c:v>494.97474683058317</c:v>
                </c:pt>
                <c:pt idx="100">
                  <c:v>494.97474683058317</c:v>
                </c:pt>
                <c:pt idx="101">
                  <c:v>494.97474683058317</c:v>
                </c:pt>
                <c:pt idx="102">
                  <c:v>494.97474683058317</c:v>
                </c:pt>
                <c:pt idx="103">
                  <c:v>494.97474683058317</c:v>
                </c:pt>
                <c:pt idx="104">
                  <c:v>494.97474683058317</c:v>
                </c:pt>
                <c:pt idx="105">
                  <c:v>494.97474683058317</c:v>
                </c:pt>
                <c:pt idx="106">
                  <c:v>494.97474683058317</c:v>
                </c:pt>
                <c:pt idx="107">
                  <c:v>494.97474683058317</c:v>
                </c:pt>
                <c:pt idx="108">
                  <c:v>494.97474683058317</c:v>
                </c:pt>
                <c:pt idx="109">
                  <c:v>494.97474683058317</c:v>
                </c:pt>
                <c:pt idx="110">
                  <c:v>494.97474683058317</c:v>
                </c:pt>
                <c:pt idx="111">
                  <c:v>494.97474683058317</c:v>
                </c:pt>
                <c:pt idx="112">
                  <c:v>494.97474683058317</c:v>
                </c:pt>
                <c:pt idx="113">
                  <c:v>494.97474683058317</c:v>
                </c:pt>
                <c:pt idx="114">
                  <c:v>494.97474683058317</c:v>
                </c:pt>
                <c:pt idx="115">
                  <c:v>494.97474683058317</c:v>
                </c:pt>
                <c:pt idx="116">
                  <c:v>494.97474683058317</c:v>
                </c:pt>
                <c:pt idx="117">
                  <c:v>494.97474683058317</c:v>
                </c:pt>
                <c:pt idx="118">
                  <c:v>494.97474683058317</c:v>
                </c:pt>
                <c:pt idx="119">
                  <c:v>494.97474683058317</c:v>
                </c:pt>
                <c:pt idx="120">
                  <c:v>494.97474683058317</c:v>
                </c:pt>
                <c:pt idx="121">
                  <c:v>494.97474683058317</c:v>
                </c:pt>
                <c:pt idx="122">
                  <c:v>494.97474683058317</c:v>
                </c:pt>
                <c:pt idx="123">
                  <c:v>494.97474683058317</c:v>
                </c:pt>
                <c:pt idx="124">
                  <c:v>494.97474683058317</c:v>
                </c:pt>
                <c:pt idx="125">
                  <c:v>494.97474683058317</c:v>
                </c:pt>
                <c:pt idx="126">
                  <c:v>494.97474683058317</c:v>
                </c:pt>
                <c:pt idx="127">
                  <c:v>494.97474683058317</c:v>
                </c:pt>
                <c:pt idx="128">
                  <c:v>494.97474683058317</c:v>
                </c:pt>
                <c:pt idx="129">
                  <c:v>494.97474683058317</c:v>
                </c:pt>
                <c:pt idx="130">
                  <c:v>494.97474683058317</c:v>
                </c:pt>
                <c:pt idx="131">
                  <c:v>494.97474683058317</c:v>
                </c:pt>
                <c:pt idx="132">
                  <c:v>494.97474683058317</c:v>
                </c:pt>
                <c:pt idx="133">
                  <c:v>494.97474683058317</c:v>
                </c:pt>
                <c:pt idx="134">
                  <c:v>494.97474683058317</c:v>
                </c:pt>
                <c:pt idx="135">
                  <c:v>503.53786023705561</c:v>
                </c:pt>
                <c:pt idx="136">
                  <c:v>511.94759113341945</c:v>
                </c:pt>
                <c:pt idx="137">
                  <c:v>520.20137783417601</c:v>
                </c:pt>
                <c:pt idx="138">
                  <c:v>528.29670615594034</c:v>
                </c:pt>
                <c:pt idx="139">
                  <c:v>536.2311101832845</c:v>
                </c:pt>
                <c:pt idx="140">
                  <c:v>544.00217301987936</c:v>
                </c:pt>
                <c:pt idx="141">
                  <c:v>551.60752752470512</c:v>
                </c:pt>
                <c:pt idx="142">
                  <c:v>559.04485703310502</c:v>
                </c:pt>
                <c:pt idx="143">
                  <c:v>566.31189606246312</c:v>
                </c:pt>
                <c:pt idx="144">
                  <c:v>573.40643100229408</c:v>
                </c:pt>
                <c:pt idx="145">
                  <c:v>580.32630078852901</c:v>
                </c:pt>
                <c:pt idx="146">
                  <c:v>587.06939756179679</c:v>
                </c:pt>
                <c:pt idx="147">
                  <c:v>593.63366730949781</c:v>
                </c:pt>
                <c:pt idx="148">
                  <c:v>600.01711049147843</c:v>
                </c:pt>
                <c:pt idx="149">
                  <c:v>606.21778264910688</c:v>
                </c:pt>
                <c:pt idx="150">
                  <c:v>612.23379499757709</c:v>
                </c:pt>
                <c:pt idx="151">
                  <c:v>618.06331500124884</c:v>
                </c:pt>
                <c:pt idx="152">
                  <c:v>623.70456693185747</c:v>
                </c:pt>
                <c:pt idx="153">
                  <c:v>629.15583240941703</c:v>
                </c:pt>
                <c:pt idx="154">
                  <c:v>634.4154509256548</c:v>
                </c:pt>
                <c:pt idx="155">
                  <c:v>639.48182034982074</c:v>
                </c:pt>
                <c:pt idx="156">
                  <c:v>644.35339741670794</c:v>
                </c:pt>
                <c:pt idx="157">
                  <c:v>649.02869819675107</c:v>
                </c:pt>
                <c:pt idx="158">
                  <c:v>653.50629854804106</c:v>
                </c:pt>
                <c:pt idx="159">
                  <c:v>657.78483455013588</c:v>
                </c:pt>
                <c:pt idx="160">
                  <c:v>661.86300291952159</c:v>
                </c:pt>
                <c:pt idx="161">
                  <c:v>665.73956140660744</c:v>
                </c:pt>
                <c:pt idx="162">
                  <c:v>669.41332917412501</c:v>
                </c:pt>
                <c:pt idx="163">
                  <c:v>672.88318715682306</c:v>
                </c:pt>
                <c:pt idx="164">
                  <c:v>676.14807840234778</c:v>
                </c:pt>
                <c:pt idx="165">
                  <c:v>679.2070083931975</c:v>
                </c:pt>
                <c:pt idx="166">
                  <c:v>682.05904534966464</c:v>
                </c:pt>
                <c:pt idx="167">
                  <c:v>684.70332051366393</c:v>
                </c:pt>
                <c:pt idx="168">
                  <c:v>687.13902841336483</c:v>
                </c:pt>
                <c:pt idx="169">
                  <c:v>689.36542710854553</c:v>
                </c:pt>
                <c:pt idx="170">
                  <c:v>691.38183841659634</c:v>
                </c:pt>
                <c:pt idx="171">
                  <c:v>693.18764811909921</c:v>
                </c:pt>
                <c:pt idx="172">
                  <c:v>694.78230614892539</c:v>
                </c:pt>
                <c:pt idx="173">
                  <c:v>696.16532675779126</c:v>
                </c:pt>
                <c:pt idx="174">
                  <c:v>697.33628866422191</c:v>
                </c:pt>
                <c:pt idx="175">
                  <c:v>698.29483518187703</c:v>
                </c:pt>
                <c:pt idx="176">
                  <c:v>699.0406743282017</c:v>
                </c:pt>
                <c:pt idx="177">
                  <c:v>699.57357891336699</c:v>
                </c:pt>
                <c:pt idx="178">
                  <c:v>699.89338660947385</c:v>
                </c:pt>
              </c:numCache>
            </c:numRef>
          </c:xVal>
          <c:yVal>
            <c:numRef>
              <c:f>Aufsicht!$BA$191:$BA$369</c:f>
              <c:numCache>
                <c:formatCode>General</c:formatCode>
                <c:ptCount val="179"/>
                <c:pt idx="0">
                  <c:v>-494.9747468305834</c:v>
                </c:pt>
                <c:pt idx="1">
                  <c:v>-494.9747468305834</c:v>
                </c:pt>
                <c:pt idx="2">
                  <c:v>-494.9747468305834</c:v>
                </c:pt>
                <c:pt idx="3">
                  <c:v>-494.9747468305834</c:v>
                </c:pt>
                <c:pt idx="4">
                  <c:v>-494.9747468305834</c:v>
                </c:pt>
                <c:pt idx="5">
                  <c:v>-494.9747468305834</c:v>
                </c:pt>
                <c:pt idx="6">
                  <c:v>-494.9747468305834</c:v>
                </c:pt>
                <c:pt idx="7">
                  <c:v>-494.9747468305834</c:v>
                </c:pt>
                <c:pt idx="8">
                  <c:v>-494.9747468305834</c:v>
                </c:pt>
                <c:pt idx="9">
                  <c:v>-494.9747468305834</c:v>
                </c:pt>
                <c:pt idx="10">
                  <c:v>-494.9747468305834</c:v>
                </c:pt>
                <c:pt idx="11">
                  <c:v>-494.9747468305834</c:v>
                </c:pt>
                <c:pt idx="12">
                  <c:v>-494.9747468305834</c:v>
                </c:pt>
                <c:pt idx="13">
                  <c:v>-494.9747468305834</c:v>
                </c:pt>
                <c:pt idx="14">
                  <c:v>-494.9747468305834</c:v>
                </c:pt>
                <c:pt idx="15">
                  <c:v>-494.9747468305834</c:v>
                </c:pt>
                <c:pt idx="16">
                  <c:v>-494.9747468305834</c:v>
                </c:pt>
                <c:pt idx="17">
                  <c:v>-494.9747468305834</c:v>
                </c:pt>
                <c:pt idx="18">
                  <c:v>-494.9747468305834</c:v>
                </c:pt>
                <c:pt idx="19">
                  <c:v>-494.9747468305834</c:v>
                </c:pt>
                <c:pt idx="20">
                  <c:v>-494.9747468305834</c:v>
                </c:pt>
                <c:pt idx="21">
                  <c:v>-494.9747468305834</c:v>
                </c:pt>
                <c:pt idx="22">
                  <c:v>-494.9747468305834</c:v>
                </c:pt>
                <c:pt idx="23">
                  <c:v>-494.9747468305834</c:v>
                </c:pt>
                <c:pt idx="24">
                  <c:v>-494.9747468305834</c:v>
                </c:pt>
                <c:pt idx="25">
                  <c:v>-494.9747468305834</c:v>
                </c:pt>
                <c:pt idx="26">
                  <c:v>-494.9747468305834</c:v>
                </c:pt>
                <c:pt idx="27">
                  <c:v>-494.9747468305834</c:v>
                </c:pt>
                <c:pt idx="28">
                  <c:v>-494.9747468305834</c:v>
                </c:pt>
                <c:pt idx="29">
                  <c:v>-494.9747468305834</c:v>
                </c:pt>
                <c:pt idx="30">
                  <c:v>-494.9747468305834</c:v>
                </c:pt>
                <c:pt idx="31">
                  <c:v>-494.9747468305834</c:v>
                </c:pt>
                <c:pt idx="32">
                  <c:v>-494.9747468305834</c:v>
                </c:pt>
                <c:pt idx="33">
                  <c:v>-494.9747468305834</c:v>
                </c:pt>
                <c:pt idx="34">
                  <c:v>-494.9747468305834</c:v>
                </c:pt>
                <c:pt idx="35">
                  <c:v>-494.9747468305834</c:v>
                </c:pt>
                <c:pt idx="36">
                  <c:v>-494.9747468305834</c:v>
                </c:pt>
                <c:pt idx="37">
                  <c:v>-494.9747468305834</c:v>
                </c:pt>
                <c:pt idx="38">
                  <c:v>-494.9747468305834</c:v>
                </c:pt>
                <c:pt idx="39">
                  <c:v>-494.9747468305834</c:v>
                </c:pt>
                <c:pt idx="40">
                  <c:v>-494.9747468305834</c:v>
                </c:pt>
                <c:pt idx="41">
                  <c:v>-494.9747468305834</c:v>
                </c:pt>
                <c:pt idx="42">
                  <c:v>-494.9747468305834</c:v>
                </c:pt>
                <c:pt idx="43">
                  <c:v>-494.9747468305834</c:v>
                </c:pt>
                <c:pt idx="44">
                  <c:v>-494.9747468305834</c:v>
                </c:pt>
                <c:pt idx="45">
                  <c:v>-494.9747468305834</c:v>
                </c:pt>
                <c:pt idx="46">
                  <c:v>-494.9747468305834</c:v>
                </c:pt>
                <c:pt idx="47">
                  <c:v>-494.9747468305834</c:v>
                </c:pt>
                <c:pt idx="48">
                  <c:v>-494.9747468305834</c:v>
                </c:pt>
                <c:pt idx="49">
                  <c:v>-494.9747468305834</c:v>
                </c:pt>
                <c:pt idx="50">
                  <c:v>-494.9747468305834</c:v>
                </c:pt>
                <c:pt idx="51">
                  <c:v>-494.9747468305834</c:v>
                </c:pt>
                <c:pt idx="52">
                  <c:v>-494.9747468305834</c:v>
                </c:pt>
                <c:pt idx="53">
                  <c:v>-494.9747468305834</c:v>
                </c:pt>
                <c:pt idx="54">
                  <c:v>-494.9747468305834</c:v>
                </c:pt>
                <c:pt idx="55">
                  <c:v>-494.9747468305834</c:v>
                </c:pt>
                <c:pt idx="56">
                  <c:v>-494.9747468305834</c:v>
                </c:pt>
                <c:pt idx="57">
                  <c:v>-494.9747468305834</c:v>
                </c:pt>
                <c:pt idx="58">
                  <c:v>-494.9747468305834</c:v>
                </c:pt>
                <c:pt idx="59">
                  <c:v>-494.9747468305834</c:v>
                </c:pt>
                <c:pt idx="60">
                  <c:v>-494.9747468305834</c:v>
                </c:pt>
                <c:pt idx="61">
                  <c:v>-494.9747468305834</c:v>
                </c:pt>
                <c:pt idx="62">
                  <c:v>-494.9747468305834</c:v>
                </c:pt>
                <c:pt idx="63">
                  <c:v>-494.9747468305834</c:v>
                </c:pt>
                <c:pt idx="64">
                  <c:v>-494.9747468305834</c:v>
                </c:pt>
                <c:pt idx="65">
                  <c:v>-494.9747468305834</c:v>
                </c:pt>
                <c:pt idx="66">
                  <c:v>-494.9747468305834</c:v>
                </c:pt>
                <c:pt idx="67">
                  <c:v>-494.9747468305834</c:v>
                </c:pt>
                <c:pt idx="68">
                  <c:v>-494.9747468305834</c:v>
                </c:pt>
                <c:pt idx="69">
                  <c:v>-494.9747468305834</c:v>
                </c:pt>
                <c:pt idx="70">
                  <c:v>-494.9747468305834</c:v>
                </c:pt>
                <c:pt idx="71">
                  <c:v>-494.9747468305834</c:v>
                </c:pt>
                <c:pt idx="72">
                  <c:v>-494.9747468305834</c:v>
                </c:pt>
                <c:pt idx="73">
                  <c:v>-494.9747468305834</c:v>
                </c:pt>
                <c:pt idx="74">
                  <c:v>-494.9747468305834</c:v>
                </c:pt>
                <c:pt idx="75">
                  <c:v>-494.9747468305834</c:v>
                </c:pt>
                <c:pt idx="76">
                  <c:v>-494.9747468305834</c:v>
                </c:pt>
                <c:pt idx="77">
                  <c:v>-494.9747468305834</c:v>
                </c:pt>
                <c:pt idx="78">
                  <c:v>-494.9747468305834</c:v>
                </c:pt>
                <c:pt idx="79">
                  <c:v>-494.9747468305834</c:v>
                </c:pt>
                <c:pt idx="80">
                  <c:v>-494.9747468305834</c:v>
                </c:pt>
                <c:pt idx="81">
                  <c:v>-494.9747468305834</c:v>
                </c:pt>
                <c:pt idx="82">
                  <c:v>-494.9747468305834</c:v>
                </c:pt>
                <c:pt idx="83">
                  <c:v>-494.9747468305834</c:v>
                </c:pt>
                <c:pt idx="84">
                  <c:v>-494.9747468305834</c:v>
                </c:pt>
                <c:pt idx="85">
                  <c:v>-494.9747468305834</c:v>
                </c:pt>
                <c:pt idx="86">
                  <c:v>-494.9747468305834</c:v>
                </c:pt>
                <c:pt idx="87">
                  <c:v>-494.9747468305834</c:v>
                </c:pt>
                <c:pt idx="88">
                  <c:v>-494.9747468305834</c:v>
                </c:pt>
                <c:pt idx="89">
                  <c:v>-494.9747468305834</c:v>
                </c:pt>
                <c:pt idx="90">
                  <c:v>-494.9747468305834</c:v>
                </c:pt>
                <c:pt idx="91">
                  <c:v>-494.9747468305834</c:v>
                </c:pt>
                <c:pt idx="92">
                  <c:v>-494.9747468305834</c:v>
                </c:pt>
                <c:pt idx="93">
                  <c:v>-494.9747468305834</c:v>
                </c:pt>
                <c:pt idx="94">
                  <c:v>-494.9747468305834</c:v>
                </c:pt>
                <c:pt idx="95">
                  <c:v>-494.9747468305834</c:v>
                </c:pt>
                <c:pt idx="96">
                  <c:v>-494.9747468305834</c:v>
                </c:pt>
                <c:pt idx="97">
                  <c:v>-494.9747468305834</c:v>
                </c:pt>
                <c:pt idx="98">
                  <c:v>-494.9747468305834</c:v>
                </c:pt>
                <c:pt idx="99">
                  <c:v>-494.9747468305834</c:v>
                </c:pt>
                <c:pt idx="100">
                  <c:v>-494.9747468305834</c:v>
                </c:pt>
                <c:pt idx="101">
                  <c:v>-494.9747468305834</c:v>
                </c:pt>
                <c:pt idx="102">
                  <c:v>-494.9747468305834</c:v>
                </c:pt>
                <c:pt idx="103">
                  <c:v>-494.9747468305834</c:v>
                </c:pt>
                <c:pt idx="104">
                  <c:v>-494.9747468305834</c:v>
                </c:pt>
                <c:pt idx="105">
                  <c:v>-494.9747468305834</c:v>
                </c:pt>
                <c:pt idx="106">
                  <c:v>-494.9747468305834</c:v>
                </c:pt>
                <c:pt idx="107">
                  <c:v>-494.9747468305834</c:v>
                </c:pt>
                <c:pt idx="108">
                  <c:v>-494.9747468305834</c:v>
                </c:pt>
                <c:pt idx="109">
                  <c:v>-494.9747468305834</c:v>
                </c:pt>
                <c:pt idx="110">
                  <c:v>-494.9747468305834</c:v>
                </c:pt>
                <c:pt idx="111">
                  <c:v>-494.9747468305834</c:v>
                </c:pt>
                <c:pt idx="112">
                  <c:v>-494.9747468305834</c:v>
                </c:pt>
                <c:pt idx="113">
                  <c:v>-494.9747468305834</c:v>
                </c:pt>
                <c:pt idx="114">
                  <c:v>-494.9747468305834</c:v>
                </c:pt>
                <c:pt idx="115">
                  <c:v>-494.9747468305834</c:v>
                </c:pt>
                <c:pt idx="116">
                  <c:v>-494.9747468305834</c:v>
                </c:pt>
                <c:pt idx="117">
                  <c:v>-494.9747468305834</c:v>
                </c:pt>
                <c:pt idx="118">
                  <c:v>-494.9747468305834</c:v>
                </c:pt>
                <c:pt idx="119">
                  <c:v>-494.9747468305834</c:v>
                </c:pt>
                <c:pt idx="120">
                  <c:v>-494.9747468305834</c:v>
                </c:pt>
                <c:pt idx="121">
                  <c:v>-494.9747468305834</c:v>
                </c:pt>
                <c:pt idx="122">
                  <c:v>-494.9747468305834</c:v>
                </c:pt>
                <c:pt idx="123">
                  <c:v>-494.9747468305834</c:v>
                </c:pt>
                <c:pt idx="124">
                  <c:v>-494.9747468305834</c:v>
                </c:pt>
                <c:pt idx="125">
                  <c:v>-494.9747468305834</c:v>
                </c:pt>
                <c:pt idx="126">
                  <c:v>-494.9747468305834</c:v>
                </c:pt>
                <c:pt idx="127">
                  <c:v>-494.9747468305834</c:v>
                </c:pt>
                <c:pt idx="128">
                  <c:v>-494.9747468305834</c:v>
                </c:pt>
                <c:pt idx="129">
                  <c:v>-494.9747468305834</c:v>
                </c:pt>
                <c:pt idx="130">
                  <c:v>-494.9747468305834</c:v>
                </c:pt>
                <c:pt idx="131">
                  <c:v>-494.9747468305834</c:v>
                </c:pt>
                <c:pt idx="132">
                  <c:v>-494.9747468305834</c:v>
                </c:pt>
                <c:pt idx="133">
                  <c:v>-494.9747468305834</c:v>
                </c:pt>
                <c:pt idx="134">
                  <c:v>-494.9747468305834</c:v>
                </c:pt>
                <c:pt idx="135">
                  <c:v>-486.26085932129831</c:v>
                </c:pt>
                <c:pt idx="136">
                  <c:v>-477.39885204374878</c:v>
                </c:pt>
                <c:pt idx="137">
                  <c:v>-468.39142445120069</c:v>
                </c:pt>
                <c:pt idx="138">
                  <c:v>-459.24132029335516</c:v>
                </c:pt>
                <c:pt idx="139">
                  <c:v>-449.95132678057769</c:v>
                </c:pt>
                <c:pt idx="140">
                  <c:v>-440.52427373488649</c:v>
                </c:pt>
                <c:pt idx="141">
                  <c:v>-430.96303272796121</c:v>
                </c:pt>
                <c:pt idx="142">
                  <c:v>-421.2705162064338</c:v>
                </c:pt>
                <c:pt idx="143">
                  <c:v>-411.44967660473134</c:v>
                </c:pt>
                <c:pt idx="144">
                  <c:v>-401.50350544573257</c:v>
                </c:pt>
                <c:pt idx="145">
                  <c:v>-391.43503242952312</c:v>
                </c:pt>
                <c:pt idx="146">
                  <c:v>-381.24732451051887</c:v>
                </c:pt>
                <c:pt idx="147">
                  <c:v>-370.94348496324403</c:v>
                </c:pt>
                <c:pt idx="148">
                  <c:v>-360.52665243703814</c:v>
                </c:pt>
                <c:pt idx="149">
                  <c:v>-350.00000000000028</c:v>
                </c:pt>
                <c:pt idx="150">
                  <c:v>-339.36673417243583</c:v>
                </c:pt>
                <c:pt idx="151">
                  <c:v>-328.63009395012358</c:v>
                </c:pt>
                <c:pt idx="152">
                  <c:v>-317.79334981768289</c:v>
                </c:pt>
                <c:pt idx="153">
                  <c:v>-306.85980275235391</c:v>
                </c:pt>
                <c:pt idx="154">
                  <c:v>-295.83278321849002</c:v>
                </c:pt>
                <c:pt idx="155">
                  <c:v>-284.7156501530601</c:v>
                </c:pt>
                <c:pt idx="156">
                  <c:v>-273.51178994249233</c:v>
                </c:pt>
                <c:pt idx="157">
                  <c:v>-262.22461539113863</c:v>
                </c:pt>
                <c:pt idx="158">
                  <c:v>-250.85756468171053</c:v>
                </c:pt>
                <c:pt idx="159">
                  <c:v>-239.41410032796801</c:v>
                </c:pt>
                <c:pt idx="160">
                  <c:v>-227.89770812001026</c:v>
                </c:pt>
                <c:pt idx="161">
                  <c:v>-216.31189606246332</c:v>
                </c:pt>
                <c:pt idx="162">
                  <c:v>-204.66019330591539</c:v>
                </c:pt>
                <c:pt idx="163">
                  <c:v>-192.94614907189984</c:v>
                </c:pt>
                <c:pt idx="164">
                  <c:v>-181.17333157176449</c:v>
                </c:pt>
                <c:pt idx="165">
                  <c:v>-169.3453269197675</c:v>
                </c:pt>
                <c:pt idx="166">
                  <c:v>-157.46573804070573</c:v>
                </c:pt>
                <c:pt idx="167">
                  <c:v>-145.5381835724319</c:v>
                </c:pt>
                <c:pt idx="168">
                  <c:v>-133.56629676358128</c:v>
                </c:pt>
                <c:pt idx="169">
                  <c:v>-121.5537243668519</c:v>
                </c:pt>
                <c:pt idx="170">
                  <c:v>-109.50412552816178</c:v>
                </c:pt>
                <c:pt idx="171">
                  <c:v>-97.421170672046117</c:v>
                </c:pt>
                <c:pt idx="172">
                  <c:v>-85.308540383603685</c:v>
                </c:pt>
                <c:pt idx="173">
                  <c:v>-73.169924287357389</c:v>
                </c:pt>
                <c:pt idx="174">
                  <c:v>-61.009019923360825</c:v>
                </c:pt>
                <c:pt idx="175">
                  <c:v>-48.82953162088733</c:v>
                </c:pt>
                <c:pt idx="176">
                  <c:v>-36.635169370061057</c:v>
                </c:pt>
                <c:pt idx="177">
                  <c:v>-24.429647691750578</c:v>
                </c:pt>
                <c:pt idx="178">
                  <c:v>-12.216684506099114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38D8-4176-9017-F4D9D0DE5634}"/>
            </c:ext>
          </c:extLst>
        </c:ser>
        <c:ser>
          <c:idx val="14"/>
          <c:order val="14"/>
          <c:tx>
            <c:v>DL1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Aufsicht!$AJ$30:$AJ$31</c:f>
              <c:numCache>
                <c:formatCode>General</c:formatCode>
                <c:ptCount val="2"/>
                <c:pt idx="0">
                  <c:v>650</c:v>
                </c:pt>
                <c:pt idx="1">
                  <c:v>450</c:v>
                </c:pt>
              </c:numCache>
            </c:numRef>
          </c:xVal>
          <c:yVal>
            <c:numRef>
              <c:f>Aufsicht!$AK$30:$AK$31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38D8-4176-9017-F4D9D0DE5634}"/>
            </c:ext>
          </c:extLst>
        </c:ser>
        <c:ser>
          <c:idx val="15"/>
          <c:order val="15"/>
          <c:tx>
            <c:v>DL2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Aufsicht!$AJ$33:$AJ$34</c:f>
              <c:numCache>
                <c:formatCode>General</c:formatCode>
                <c:ptCount val="2"/>
                <c:pt idx="0">
                  <c:v>650</c:v>
                </c:pt>
                <c:pt idx="1">
                  <c:v>450</c:v>
                </c:pt>
              </c:numCache>
            </c:numRef>
          </c:xVal>
          <c:yVal>
            <c:numRef>
              <c:f>Aufsicht!$AK$33:$AK$34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1-38D8-4176-9017-F4D9D0DE5634}"/>
            </c:ext>
          </c:extLst>
        </c:ser>
        <c:ser>
          <c:idx val="16"/>
          <c:order val="16"/>
          <c:tx>
            <c:v>DL3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Aufsicht!$AJ$36:$AJ$37</c:f>
              <c:numCache>
                <c:formatCode>General</c:formatCode>
                <c:ptCount val="2"/>
                <c:pt idx="0">
                  <c:v>650</c:v>
                </c:pt>
                <c:pt idx="1">
                  <c:v>650</c:v>
                </c:pt>
              </c:numCache>
            </c:numRef>
          </c:xVal>
          <c:yVal>
            <c:numRef>
              <c:f>Aufsicht!$AK$36:$AK$37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38D8-4176-9017-F4D9D0DE5634}"/>
            </c:ext>
          </c:extLst>
        </c:ser>
        <c:ser>
          <c:idx val="17"/>
          <c:order val="17"/>
          <c:tx>
            <c:v>DL4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rgbClr val="FFC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38D8-4176-9017-F4D9D0DE5634}"/>
              </c:ext>
            </c:extLst>
          </c:dPt>
          <c:xVal>
            <c:numRef>
              <c:f>Aufsicht!$AJ$39:$AJ$40</c:f>
              <c:numCache>
                <c:formatCode>General</c:formatCode>
                <c:ptCount val="2"/>
                <c:pt idx="0">
                  <c:v>450</c:v>
                </c:pt>
                <c:pt idx="1">
                  <c:v>450</c:v>
                </c:pt>
              </c:numCache>
            </c:numRef>
          </c:xVal>
          <c:yVal>
            <c:numRef>
              <c:f>Aufsicht!$AK$39:$AK$40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5-38D8-4176-9017-F4D9D0DE5634}"/>
            </c:ext>
          </c:extLst>
        </c:ser>
        <c:ser>
          <c:idx val="18"/>
          <c:order val="18"/>
          <c:tx>
            <c:v>E1</c:v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strRef>
              <c:f>Aufsicht!$AR$8:$AR$12</c:f>
              <c:strCache>
                <c:ptCount val="4"/>
                <c:pt idx="1">
                  <c:v>#WERT!</c:v>
                </c:pt>
                <c:pt idx="2">
                  <c:v>#WERT!</c:v>
                </c:pt>
                <c:pt idx="3">
                  <c:v>#WERT!</c:v>
                </c:pt>
              </c:strCache>
            </c:strRef>
          </c:xVal>
          <c:yVal>
            <c:numRef>
              <c:f>Aufsicht!$AS$8:$AS$12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38D8-4176-9017-F4D9D0DE5634}"/>
            </c:ext>
          </c:extLst>
        </c:ser>
        <c:ser>
          <c:idx val="19"/>
          <c:order val="19"/>
          <c:tx>
            <c:v>E2</c:v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Aufsicht!$AR$13:$AR$17</c:f>
              <c:numCache>
                <c:formatCode>General</c:formatCode>
                <c:ptCount val="5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Aufsicht!$AS$13:$AS$17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38D8-4176-9017-F4D9D0DE5634}"/>
            </c:ext>
          </c:extLst>
        </c:ser>
        <c:ser>
          <c:idx val="20"/>
          <c:order val="20"/>
          <c:tx>
            <c:strRef>
              <c:f>Aufsicht!$AT$20</c:f>
              <c:strCache>
                <c:ptCount val="1"/>
                <c:pt idx="0">
                  <c:v>E3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Aufsicht!$AR$18:$AR$22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Aufsicht!$AS$18:$AS$22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38D8-4176-9017-F4D9D0DE5634}"/>
            </c:ext>
          </c:extLst>
        </c:ser>
        <c:ser>
          <c:idx val="21"/>
          <c:order val="21"/>
          <c:tx>
            <c:strRef>
              <c:f>Aufsicht!$AT$25</c:f>
              <c:strCache>
                <c:ptCount val="1"/>
                <c:pt idx="0">
                  <c:v>E4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Aufsicht!$AR$23:$AR$27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Aufsicht!$AS$23:$AS$27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38D8-4176-9017-F4D9D0DE5634}"/>
            </c:ext>
          </c:extLst>
        </c:ser>
        <c:ser>
          <c:idx val="22"/>
          <c:order val="22"/>
          <c:tx>
            <c:strRef>
              <c:f>Aufsicht!$AT$30</c:f>
              <c:strCache>
                <c:ptCount val="1"/>
                <c:pt idx="0">
                  <c:v>E5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Aufsicht!$AR$28:$AR$32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Aufsicht!$AS$28:$AS$32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38D8-4176-9017-F4D9D0DE5634}"/>
            </c:ext>
          </c:extLst>
        </c:ser>
        <c:ser>
          <c:idx val="23"/>
          <c:order val="23"/>
          <c:tx>
            <c:strRef>
              <c:f>Aufsicht!$AT$35</c:f>
              <c:strCache>
                <c:ptCount val="1"/>
                <c:pt idx="0">
                  <c:v>E6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Aufsicht!$AR$33:$AR$37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Aufsicht!$AS$33:$AS$37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38D8-4176-9017-F4D9D0DE5634}"/>
            </c:ext>
          </c:extLst>
        </c:ser>
        <c:ser>
          <c:idx val="24"/>
          <c:order val="24"/>
          <c:tx>
            <c:strRef>
              <c:f>Aufsicht!$AT$40</c:f>
              <c:strCache>
                <c:ptCount val="1"/>
                <c:pt idx="0">
                  <c:v>E7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Aufsicht!$AR$38:$AR$42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Aufsicht!$AS$38:$AS$42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38D8-4176-9017-F4D9D0DE5634}"/>
            </c:ext>
          </c:extLst>
        </c:ser>
        <c:ser>
          <c:idx val="25"/>
          <c:order val="25"/>
          <c:tx>
            <c:strRef>
              <c:f>Aufsicht!$AT$45</c:f>
              <c:strCache>
                <c:ptCount val="1"/>
                <c:pt idx="0">
                  <c:v>E8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Aufsicht!$AR$43:$AR$47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Aufsicht!$AS$43:$AS$47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38D8-4176-9017-F4D9D0DE5634}"/>
            </c:ext>
          </c:extLst>
        </c:ser>
        <c:ser>
          <c:idx val="26"/>
          <c:order val="26"/>
          <c:tx>
            <c:strRef>
              <c:f>Aufsicht!$AT$50</c:f>
              <c:strCache>
                <c:ptCount val="1"/>
                <c:pt idx="0">
                  <c:v>El Rohr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Aufsicht!$AR$48:$AR$52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Aufsicht!$AS$48:$AS$52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38D8-4176-9017-F4D9D0DE5634}"/>
            </c:ext>
          </c:extLst>
        </c:ser>
        <c:ser>
          <c:idx val="27"/>
          <c:order val="27"/>
          <c:tx>
            <c:v>Einlauffrei Ende1</c:v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Aufsicht!$BC$188:$BC$189</c:f>
              <c:numCache>
                <c:formatCode>General</c:formatCode>
                <c:ptCount val="2"/>
                <c:pt idx="0">
                  <c:v>494.97474683058329</c:v>
                </c:pt>
                <c:pt idx="1">
                  <c:v>569.22095885517069</c:v>
                </c:pt>
              </c:numCache>
            </c:numRef>
          </c:xVal>
          <c:yVal>
            <c:numRef>
              <c:f>Aufsicht!$BD$188:$BD$189</c:f>
              <c:numCache>
                <c:formatCode>General</c:formatCode>
                <c:ptCount val="2"/>
                <c:pt idx="0">
                  <c:v>494.97474683058323</c:v>
                </c:pt>
                <c:pt idx="1">
                  <c:v>569.22095885517058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F-38D8-4176-9017-F4D9D0DE5634}"/>
            </c:ext>
          </c:extLst>
        </c:ser>
        <c:ser>
          <c:idx val="28"/>
          <c:order val="28"/>
          <c:tx>
            <c:v>Einlauffrei Ende2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2225" cap="rnd">
                <a:solidFill>
                  <a:srgbClr val="7030A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38D8-4176-9017-F4D9D0DE5634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2225" cap="rnd">
                <a:solidFill>
                  <a:srgbClr val="7030A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38D8-4176-9017-F4D9D0DE5634}"/>
              </c:ext>
            </c:extLst>
          </c:dPt>
          <c:xVal>
            <c:numRef>
              <c:f>Aufsicht!$BC$191:$BC$192</c:f>
              <c:numCache>
                <c:formatCode>General</c:formatCode>
                <c:ptCount val="2"/>
                <c:pt idx="0">
                  <c:v>494.97474683058317</c:v>
                </c:pt>
                <c:pt idx="1">
                  <c:v>569.22095885517058</c:v>
                </c:pt>
              </c:numCache>
            </c:numRef>
          </c:xVal>
          <c:yVal>
            <c:numRef>
              <c:f>Aufsicht!$BD$191:$BD$192</c:f>
              <c:numCache>
                <c:formatCode>General</c:formatCode>
                <c:ptCount val="2"/>
                <c:pt idx="0">
                  <c:v>-494.9747468305834</c:v>
                </c:pt>
                <c:pt idx="1">
                  <c:v>-569.22095885517081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4-38D8-4176-9017-F4D9D0DE5634}"/>
            </c:ext>
          </c:extLst>
        </c:ser>
        <c:ser>
          <c:idx val="29"/>
          <c:order val="29"/>
          <c:tx>
            <c:v>PDL 1 Mittelstrich</c:v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rgbClr val="FFC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38D8-4176-9017-F4D9D0DE5634}"/>
              </c:ext>
            </c:extLst>
          </c:dPt>
          <c:xVal>
            <c:numRef>
              <c:f>Aufsicht!$AJ$42:$AJ$43</c:f>
              <c:numCache>
                <c:formatCode>General</c:formatCode>
                <c:ptCount val="2"/>
                <c:pt idx="0">
                  <c:v>650</c:v>
                </c:pt>
                <c:pt idx="1">
                  <c:v>450</c:v>
                </c:pt>
              </c:numCache>
            </c:numRef>
          </c:xVal>
          <c:yVal>
            <c:numRef>
              <c:f>Aufsicht!$AK$42:$AK$43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7-38D8-4176-9017-F4D9D0DE5634}"/>
            </c:ext>
          </c:extLst>
        </c:ser>
        <c:ser>
          <c:idx val="30"/>
          <c:order val="30"/>
          <c:tx>
            <c:strRef>
              <c:f>Aufsicht!$M$6</c:f>
              <c:strCache>
                <c:ptCount val="1"/>
                <c:pt idx="0">
                  <c:v>Schacht aussen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Aufsicht!$N$11:$N$370</c:f>
              <c:numCache>
                <c:formatCode>General</c:formatCode>
                <c:ptCount val="360"/>
                <c:pt idx="0">
                  <c:v>574.91242471492501</c:v>
                </c:pt>
                <c:pt idx="1">
                  <c:v>574.64972553598011</c:v>
                </c:pt>
                <c:pt idx="2">
                  <c:v>574.21198248387998</c:v>
                </c:pt>
                <c:pt idx="3">
                  <c:v>573.59932889939887</c:v>
                </c:pt>
                <c:pt idx="4">
                  <c:v>572.81195140275372</c:v>
                </c:pt>
                <c:pt idx="5">
                  <c:v>571.85008983675709</c:v>
                </c:pt>
                <c:pt idx="6">
                  <c:v>570.71403719376019</c:v>
                </c:pt>
                <c:pt idx="7">
                  <c:v>569.40413952640301</c:v>
                </c:pt>
                <c:pt idx="8">
                  <c:v>567.92079584220426</c:v>
                </c:pt>
                <c:pt idx="9">
                  <c:v>566.26445798201962</c:v>
                </c:pt>
                <c:pt idx="10">
                  <c:v>564.43563048240674</c:v>
                </c:pt>
                <c:pt idx="11">
                  <c:v>562.43487042193829</c:v>
                </c:pt>
                <c:pt idx="12">
                  <c:v>560.2627872515103</c:v>
                </c:pt>
                <c:pt idx="13">
                  <c:v>557.92004260869794</c:v>
                </c:pt>
                <c:pt idx="14">
                  <c:v>555.40735011621427</c:v>
                </c:pt>
                <c:pt idx="15">
                  <c:v>552.72547516453335</c:v>
                </c:pt>
                <c:pt idx="16">
                  <c:v>549.87523467874541</c:v>
                </c:pt>
                <c:pt idx="17">
                  <c:v>546.85749686971326</c:v>
                </c:pt>
                <c:pt idx="18">
                  <c:v>543.67318096960719</c:v>
                </c:pt>
                <c:pt idx="19">
                  <c:v>540.32325695189729</c:v>
                </c:pt>
                <c:pt idx="20">
                  <c:v>536.80874523589102</c:v>
                </c:pt>
                <c:pt idx="21">
                  <c:v>533.13071637590281</c:v>
                </c:pt>
                <c:pt idx="22">
                  <c:v>529.29029073515323</c:v>
                </c:pt>
                <c:pt idx="23">
                  <c:v>525.28863814449551</c:v>
                </c:pt>
                <c:pt idx="24">
                  <c:v>521.1269775460737</c:v>
                </c:pt>
                <c:pt idx="25">
                  <c:v>516.806576622021</c:v>
                </c:pt>
                <c:pt idx="26">
                  <c:v>512.32875140831152</c:v>
                </c:pt>
                <c:pt idx="27">
                  <c:v>507.69486589388299</c:v>
                </c:pt>
                <c:pt idx="28">
                  <c:v>502.90633160515256</c:v>
                </c:pt>
                <c:pt idx="29">
                  <c:v>497.96460717605225</c:v>
                </c:pt>
                <c:pt idx="30">
                  <c:v>492.87119790371457</c:v>
                </c:pt>
                <c:pt idx="31">
                  <c:v>487.62765528994493</c:v>
                </c:pt>
                <c:pt idx="32">
                  <c:v>482.23557656861885</c:v>
                </c:pt>
                <c:pt idx="33">
                  <c:v>476.69660421914892</c:v>
                </c:pt>
                <c:pt idx="34">
                  <c:v>471.01242546617027</c:v>
                </c:pt>
                <c:pt idx="35">
                  <c:v>465.1847717655948</c:v>
                </c:pt>
                <c:pt idx="36">
                  <c:v>459.21541827719335</c:v>
                </c:pt>
                <c:pt idx="37">
                  <c:v>453.10618332386514</c:v>
                </c:pt>
                <c:pt idx="38">
                  <c:v>446.85892783775824</c:v>
                </c:pt>
                <c:pt idx="39">
                  <c:v>440.47555479341236</c:v>
                </c:pt>
                <c:pt idx="40">
                  <c:v>433.95800862809398</c:v>
                </c:pt>
                <c:pt idx="41">
                  <c:v>427.3082746495017</c:v>
                </c:pt>
                <c:pt idx="42">
                  <c:v>420.5283784310231</c:v>
                </c:pt>
                <c:pt idx="43">
                  <c:v>413.62038519472446</c:v>
                </c:pt>
                <c:pt idx="44">
                  <c:v>406.58639918226487</c:v>
                </c:pt>
                <c:pt idx="45">
                  <c:v>399.42856301392351</c:v>
                </c:pt>
                <c:pt idx="46">
                  <c:v>392.14905703593661</c:v>
                </c:pt>
                <c:pt idx="47">
                  <c:v>384.75009865634348</c:v>
                </c:pt>
                <c:pt idx="48">
                  <c:v>377.23394166954171</c:v>
                </c:pt>
                <c:pt idx="49">
                  <c:v>369.60287556976016</c:v>
                </c:pt>
                <c:pt idx="50">
                  <c:v>361.85922485365654</c:v>
                </c:pt>
                <c:pt idx="51">
                  <c:v>354.00534831225355</c:v>
                </c:pt>
                <c:pt idx="52">
                  <c:v>346.04363831242784</c:v>
                </c:pt>
                <c:pt idx="53">
                  <c:v>337.97652006817208</c:v>
                </c:pt>
                <c:pt idx="54">
                  <c:v>329.80645090185152</c:v>
                </c:pt>
                <c:pt idx="55">
                  <c:v>321.53591949567942</c:v>
                </c:pt>
                <c:pt idx="56">
                  <c:v>313.16744513364063</c:v>
                </c:pt>
                <c:pt idx="57">
                  <c:v>304.70357693409284</c:v>
                </c:pt>
                <c:pt idx="58">
                  <c:v>296.14689307328126</c:v>
                </c:pt>
                <c:pt idx="59">
                  <c:v>287.50000000000006</c:v>
                </c:pt>
                <c:pt idx="60">
                  <c:v>278.76553164164386</c:v>
                </c:pt>
                <c:pt idx="61">
                  <c:v>269.94614860188727</c:v>
                </c:pt>
                <c:pt idx="62">
                  <c:v>261.04453735023941</c:v>
                </c:pt>
                <c:pt idx="63">
                  <c:v>252.06340940371953</c:v>
                </c:pt>
                <c:pt idx="64">
                  <c:v>243.00550050090217</c:v>
                </c:pt>
                <c:pt idx="65">
                  <c:v>233.87356976858513</c:v>
                </c:pt>
                <c:pt idx="66">
                  <c:v>224.67039888133252</c:v>
                </c:pt>
                <c:pt idx="67">
                  <c:v>215.39879121414938</c:v>
                </c:pt>
                <c:pt idx="68">
                  <c:v>206.06157098854771</c:v>
                </c:pt>
                <c:pt idx="69">
                  <c:v>196.66158241225958</c:v>
                </c:pt>
                <c:pt idx="70">
                  <c:v>187.20168881286514</c:v>
                </c:pt>
                <c:pt idx="71">
                  <c:v>177.68477176559477</c:v>
                </c:pt>
                <c:pt idx="72">
                  <c:v>168.11373021557364</c:v>
                </c:pt>
                <c:pt idx="73">
                  <c:v>158.49147959477452</c:v>
                </c:pt>
                <c:pt idx="74">
                  <c:v>148.82095093394943</c:v>
                </c:pt>
                <c:pt idx="75">
                  <c:v>139.10508996980903</c:v>
                </c:pt>
                <c:pt idx="76">
                  <c:v>129.34685624772234</c:v>
                </c:pt>
                <c:pt idx="77">
                  <c:v>119.54922222021169</c:v>
                </c:pt>
                <c:pt idx="78">
                  <c:v>109.71517234151332</c:v>
                </c:pt>
                <c:pt idx="79">
                  <c:v>99.847702158484992</c:v>
                </c:pt>
                <c:pt idx="80">
                  <c:v>89.94981739813278</c:v>
                </c:pt>
                <c:pt idx="81">
                  <c:v>80.024533052037768</c:v>
                </c:pt>
                <c:pt idx="82">
                  <c:v>70.074872457959813</c:v>
                </c:pt>
                <c:pt idx="83">
                  <c:v>60.10386637890074</c:v>
                </c:pt>
                <c:pt idx="84">
                  <c:v>50.114552079903433</c:v>
                </c:pt>
                <c:pt idx="85">
                  <c:v>40.109972402872138</c:v>
                </c:pt>
                <c:pt idx="86">
                  <c:v>30.093174839692782</c:v>
                </c:pt>
                <c:pt idx="87">
                  <c:v>20.067210603938122</c:v>
                </c:pt>
                <c:pt idx="88">
                  <c:v>10.035133701437941</c:v>
                </c:pt>
                <c:pt idx="89">
                  <c:v>3.5223018078622825E-14</c:v>
                </c:pt>
                <c:pt idx="90">
                  <c:v>-10.035133701437999</c:v>
                </c:pt>
                <c:pt idx="91">
                  <c:v>-20.067210603937923</c:v>
                </c:pt>
                <c:pt idx="92">
                  <c:v>-30.09317483969258</c:v>
                </c:pt>
                <c:pt idx="93">
                  <c:v>-40.109972402872067</c:v>
                </c:pt>
                <c:pt idx="94">
                  <c:v>-50.114552079903483</c:v>
                </c:pt>
                <c:pt idx="95">
                  <c:v>-60.103866378900669</c:v>
                </c:pt>
                <c:pt idx="96">
                  <c:v>-70.074872457959728</c:v>
                </c:pt>
                <c:pt idx="97">
                  <c:v>-80.024533052037583</c:v>
                </c:pt>
                <c:pt idx="98">
                  <c:v>-89.949817398132851</c:v>
                </c:pt>
                <c:pt idx="99">
                  <c:v>-99.847702158484921</c:v>
                </c:pt>
                <c:pt idx="100">
                  <c:v>-109.71517234151327</c:v>
                </c:pt>
                <c:pt idx="101">
                  <c:v>-119.54922222021149</c:v>
                </c:pt>
                <c:pt idx="102">
                  <c:v>-129.34685624772226</c:v>
                </c:pt>
                <c:pt idx="103">
                  <c:v>-139.10508996980897</c:v>
                </c:pt>
                <c:pt idx="104">
                  <c:v>-148.82095093394949</c:v>
                </c:pt>
                <c:pt idx="105">
                  <c:v>-158.49147959477446</c:v>
                </c:pt>
                <c:pt idx="106">
                  <c:v>-168.11373021557358</c:v>
                </c:pt>
                <c:pt idx="107">
                  <c:v>-177.68477176559472</c:v>
                </c:pt>
                <c:pt idx="108">
                  <c:v>-187.20168881286494</c:v>
                </c:pt>
                <c:pt idx="109">
                  <c:v>-196.66158241225952</c:v>
                </c:pt>
                <c:pt idx="110">
                  <c:v>-206.06157098854766</c:v>
                </c:pt>
                <c:pt idx="111">
                  <c:v>-215.39879121414944</c:v>
                </c:pt>
                <c:pt idx="112">
                  <c:v>-224.67039888133232</c:v>
                </c:pt>
                <c:pt idx="113">
                  <c:v>-233.87356976858501</c:v>
                </c:pt>
                <c:pt idx="114">
                  <c:v>-243.00550050090212</c:v>
                </c:pt>
                <c:pt idx="115">
                  <c:v>-252.06340940371956</c:v>
                </c:pt>
                <c:pt idx="116">
                  <c:v>-261.04453735023935</c:v>
                </c:pt>
                <c:pt idx="117">
                  <c:v>-269.94614860188705</c:v>
                </c:pt>
                <c:pt idx="118">
                  <c:v>-278.7655316416438</c:v>
                </c:pt>
                <c:pt idx="119">
                  <c:v>-287.49999999999989</c:v>
                </c:pt>
                <c:pt idx="120">
                  <c:v>-296.14689307328121</c:v>
                </c:pt>
                <c:pt idx="121">
                  <c:v>-304.70357693409278</c:v>
                </c:pt>
                <c:pt idx="122">
                  <c:v>-313.16744513364057</c:v>
                </c:pt>
                <c:pt idx="123">
                  <c:v>-321.53591949567937</c:v>
                </c:pt>
                <c:pt idx="124">
                  <c:v>-329.80645090185135</c:v>
                </c:pt>
                <c:pt idx="125">
                  <c:v>-337.97652006817196</c:v>
                </c:pt>
                <c:pt idx="126">
                  <c:v>-346.04363831242784</c:v>
                </c:pt>
                <c:pt idx="127">
                  <c:v>-354.00534831225355</c:v>
                </c:pt>
                <c:pt idx="128">
                  <c:v>-361.85922485365643</c:v>
                </c:pt>
                <c:pt idx="129">
                  <c:v>-369.60287556976016</c:v>
                </c:pt>
                <c:pt idx="130">
                  <c:v>-377.23394166954182</c:v>
                </c:pt>
                <c:pt idx="131">
                  <c:v>-384.75009865634348</c:v>
                </c:pt>
                <c:pt idx="132">
                  <c:v>-392.14905703593655</c:v>
                </c:pt>
                <c:pt idx="133">
                  <c:v>-399.42856301392328</c:v>
                </c:pt>
                <c:pt idx="134">
                  <c:v>-406.58639918226481</c:v>
                </c:pt>
                <c:pt idx="135">
                  <c:v>-413.62038519472446</c:v>
                </c:pt>
                <c:pt idx="136">
                  <c:v>-420.52837843102299</c:v>
                </c:pt>
                <c:pt idx="137">
                  <c:v>-427.30827464950158</c:v>
                </c:pt>
                <c:pt idx="138">
                  <c:v>-433.95800862809392</c:v>
                </c:pt>
                <c:pt idx="139">
                  <c:v>-440.4755547934123</c:v>
                </c:pt>
                <c:pt idx="140">
                  <c:v>-446.85892783775813</c:v>
                </c:pt>
                <c:pt idx="141">
                  <c:v>-453.10618332386508</c:v>
                </c:pt>
                <c:pt idx="142">
                  <c:v>-459.21541827719346</c:v>
                </c:pt>
                <c:pt idx="143">
                  <c:v>-465.18477176559475</c:v>
                </c:pt>
                <c:pt idx="144">
                  <c:v>-471.01242546617016</c:v>
                </c:pt>
                <c:pt idx="145">
                  <c:v>-476.69660421914892</c:v>
                </c:pt>
                <c:pt idx="146">
                  <c:v>-482.23557656861891</c:v>
                </c:pt>
                <c:pt idx="147">
                  <c:v>-487.62765528994493</c:v>
                </c:pt>
                <c:pt idx="148">
                  <c:v>-492.87119790371452</c:v>
                </c:pt>
                <c:pt idx="149">
                  <c:v>-497.96460717605225</c:v>
                </c:pt>
                <c:pt idx="150">
                  <c:v>-502.90633160515256</c:v>
                </c:pt>
                <c:pt idx="151">
                  <c:v>-507.69486589388288</c:v>
                </c:pt>
                <c:pt idx="152">
                  <c:v>-512.32875140831152</c:v>
                </c:pt>
                <c:pt idx="153">
                  <c:v>-516.806576622021</c:v>
                </c:pt>
                <c:pt idx="154">
                  <c:v>-521.1269775460737</c:v>
                </c:pt>
                <c:pt idx="155">
                  <c:v>-525.28863814449539</c:v>
                </c:pt>
                <c:pt idx="156">
                  <c:v>-529.29029073515312</c:v>
                </c:pt>
                <c:pt idx="157">
                  <c:v>-533.13071637590269</c:v>
                </c:pt>
                <c:pt idx="158">
                  <c:v>-536.80874523589102</c:v>
                </c:pt>
                <c:pt idx="159">
                  <c:v>-540.32325695189729</c:v>
                </c:pt>
                <c:pt idx="160">
                  <c:v>-543.67318096960707</c:v>
                </c:pt>
                <c:pt idx="161">
                  <c:v>-546.85749686971326</c:v>
                </c:pt>
                <c:pt idx="162">
                  <c:v>-549.87523467874541</c:v>
                </c:pt>
                <c:pt idx="163">
                  <c:v>-552.72547516453324</c:v>
                </c:pt>
                <c:pt idx="164">
                  <c:v>-555.40735011621416</c:v>
                </c:pt>
                <c:pt idx="165">
                  <c:v>-557.92004260869794</c:v>
                </c:pt>
                <c:pt idx="166">
                  <c:v>-560.2627872515103</c:v>
                </c:pt>
                <c:pt idx="167">
                  <c:v>-562.43487042193829</c:v>
                </c:pt>
                <c:pt idx="168">
                  <c:v>-564.43563048240674</c:v>
                </c:pt>
                <c:pt idx="169">
                  <c:v>-566.26445798201962</c:v>
                </c:pt>
                <c:pt idx="170">
                  <c:v>-567.92079584220414</c:v>
                </c:pt>
                <c:pt idx="171">
                  <c:v>-569.4041395264029</c:v>
                </c:pt>
                <c:pt idx="172">
                  <c:v>-570.71403719376019</c:v>
                </c:pt>
                <c:pt idx="173">
                  <c:v>-571.85008983675709</c:v>
                </c:pt>
                <c:pt idx="174">
                  <c:v>-572.81195140275372</c:v>
                </c:pt>
                <c:pt idx="175">
                  <c:v>-573.59932889939887</c:v>
                </c:pt>
                <c:pt idx="176">
                  <c:v>-574.21198248387998</c:v>
                </c:pt>
                <c:pt idx="177">
                  <c:v>-574.64972553598011</c:v>
                </c:pt>
                <c:pt idx="178">
                  <c:v>-574.91242471492501</c:v>
                </c:pt>
                <c:pt idx="179">
                  <c:v>-575</c:v>
                </c:pt>
                <c:pt idx="180">
                  <c:v>-574.91242471492501</c:v>
                </c:pt>
                <c:pt idx="181">
                  <c:v>-574.64972553598011</c:v>
                </c:pt>
                <c:pt idx="182">
                  <c:v>-574.21198248387998</c:v>
                </c:pt>
                <c:pt idx="183">
                  <c:v>-573.59932889939898</c:v>
                </c:pt>
                <c:pt idx="184">
                  <c:v>-572.81195140275372</c:v>
                </c:pt>
                <c:pt idx="185">
                  <c:v>-571.85008983675721</c:v>
                </c:pt>
                <c:pt idx="186">
                  <c:v>-570.71403719376019</c:v>
                </c:pt>
                <c:pt idx="187">
                  <c:v>-569.4041395264029</c:v>
                </c:pt>
                <c:pt idx="188">
                  <c:v>-567.92079584220426</c:v>
                </c:pt>
                <c:pt idx="189">
                  <c:v>-566.26445798201962</c:v>
                </c:pt>
                <c:pt idx="190">
                  <c:v>-564.43563048240674</c:v>
                </c:pt>
                <c:pt idx="191">
                  <c:v>-562.43487042193829</c:v>
                </c:pt>
                <c:pt idx="192">
                  <c:v>-560.2627872515103</c:v>
                </c:pt>
                <c:pt idx="193">
                  <c:v>-557.92004260869794</c:v>
                </c:pt>
                <c:pt idx="194">
                  <c:v>-555.40735011621439</c:v>
                </c:pt>
                <c:pt idx="195">
                  <c:v>-552.72547516453335</c:v>
                </c:pt>
                <c:pt idx="196">
                  <c:v>-549.87523467874541</c:v>
                </c:pt>
                <c:pt idx="197">
                  <c:v>-546.85749686971326</c:v>
                </c:pt>
                <c:pt idx="198">
                  <c:v>-543.67318096960707</c:v>
                </c:pt>
                <c:pt idx="199">
                  <c:v>-540.32325695189729</c:v>
                </c:pt>
                <c:pt idx="200">
                  <c:v>-536.80874523589102</c:v>
                </c:pt>
                <c:pt idx="201">
                  <c:v>-533.13071637590281</c:v>
                </c:pt>
                <c:pt idx="202">
                  <c:v>-529.29029073515323</c:v>
                </c:pt>
                <c:pt idx="203">
                  <c:v>-525.28863814449562</c:v>
                </c:pt>
                <c:pt idx="204">
                  <c:v>-521.12697754607382</c:v>
                </c:pt>
                <c:pt idx="205">
                  <c:v>-516.80657662202111</c:v>
                </c:pt>
                <c:pt idx="206">
                  <c:v>-512.32875140831163</c:v>
                </c:pt>
                <c:pt idx="207">
                  <c:v>-507.69486589388293</c:v>
                </c:pt>
                <c:pt idx="208">
                  <c:v>-502.90633160515262</c:v>
                </c:pt>
                <c:pt idx="209">
                  <c:v>-497.9646071760522</c:v>
                </c:pt>
                <c:pt idx="210">
                  <c:v>-492.87119790371457</c:v>
                </c:pt>
                <c:pt idx="211">
                  <c:v>-487.62765528994498</c:v>
                </c:pt>
                <c:pt idx="212">
                  <c:v>-482.23557656861885</c:v>
                </c:pt>
                <c:pt idx="213">
                  <c:v>-476.69660421914904</c:v>
                </c:pt>
                <c:pt idx="214">
                  <c:v>-471.01242546617038</c:v>
                </c:pt>
                <c:pt idx="215">
                  <c:v>-465.18477176559486</c:v>
                </c:pt>
                <c:pt idx="216">
                  <c:v>-459.21541827719352</c:v>
                </c:pt>
                <c:pt idx="217">
                  <c:v>-453.10618332386531</c:v>
                </c:pt>
                <c:pt idx="218">
                  <c:v>-446.85892783775819</c:v>
                </c:pt>
                <c:pt idx="219">
                  <c:v>-440.47555479341236</c:v>
                </c:pt>
                <c:pt idx="220">
                  <c:v>-433.95800862809386</c:v>
                </c:pt>
                <c:pt idx="221">
                  <c:v>-427.3082746495017</c:v>
                </c:pt>
                <c:pt idx="222">
                  <c:v>-420.5283784310231</c:v>
                </c:pt>
                <c:pt idx="223">
                  <c:v>-413.62038519472435</c:v>
                </c:pt>
                <c:pt idx="224">
                  <c:v>-406.58639918226493</c:v>
                </c:pt>
                <c:pt idx="225">
                  <c:v>-399.42856301392362</c:v>
                </c:pt>
                <c:pt idx="226">
                  <c:v>-392.14905703593689</c:v>
                </c:pt>
                <c:pt idx="227">
                  <c:v>-384.7500986563436</c:v>
                </c:pt>
                <c:pt idx="228">
                  <c:v>-377.23394166954188</c:v>
                </c:pt>
                <c:pt idx="229">
                  <c:v>-369.60287556976022</c:v>
                </c:pt>
                <c:pt idx="230">
                  <c:v>-361.85922485365637</c:v>
                </c:pt>
                <c:pt idx="231">
                  <c:v>-354.00534831225337</c:v>
                </c:pt>
                <c:pt idx="232">
                  <c:v>-346.04363831242773</c:v>
                </c:pt>
                <c:pt idx="233">
                  <c:v>-337.97652006817214</c:v>
                </c:pt>
                <c:pt idx="234">
                  <c:v>-329.80645090185169</c:v>
                </c:pt>
                <c:pt idx="235">
                  <c:v>-321.53591949567965</c:v>
                </c:pt>
                <c:pt idx="236">
                  <c:v>-313.16744513364051</c:v>
                </c:pt>
                <c:pt idx="237">
                  <c:v>-304.70357693409289</c:v>
                </c:pt>
                <c:pt idx="238">
                  <c:v>-296.14689307328132</c:v>
                </c:pt>
                <c:pt idx="239">
                  <c:v>-287.50000000000023</c:v>
                </c:pt>
                <c:pt idx="240">
                  <c:v>-278.76553164164369</c:v>
                </c:pt>
                <c:pt idx="241">
                  <c:v>-269.94614860188716</c:v>
                </c:pt>
                <c:pt idx="242">
                  <c:v>-261.04453735023947</c:v>
                </c:pt>
                <c:pt idx="243">
                  <c:v>-252.0634094037197</c:v>
                </c:pt>
                <c:pt idx="244">
                  <c:v>-243.00550050090246</c:v>
                </c:pt>
                <c:pt idx="245">
                  <c:v>-233.87356976858504</c:v>
                </c:pt>
                <c:pt idx="246">
                  <c:v>-224.67039888133246</c:v>
                </c:pt>
                <c:pt idx="247">
                  <c:v>-215.39879121414955</c:v>
                </c:pt>
                <c:pt idx="248">
                  <c:v>-206.06157098854791</c:v>
                </c:pt>
                <c:pt idx="249">
                  <c:v>-196.66158241225989</c:v>
                </c:pt>
                <c:pt idx="250">
                  <c:v>-187.20168881286506</c:v>
                </c:pt>
                <c:pt idx="251">
                  <c:v>-177.68477176559486</c:v>
                </c:pt>
                <c:pt idx="252">
                  <c:v>-168.11373021557384</c:v>
                </c:pt>
                <c:pt idx="253">
                  <c:v>-158.49147959477435</c:v>
                </c:pt>
                <c:pt idx="254">
                  <c:v>-148.82095093394935</c:v>
                </c:pt>
                <c:pt idx="255">
                  <c:v>-139.10508996980897</c:v>
                </c:pt>
                <c:pt idx="256">
                  <c:v>-129.34685624772251</c:v>
                </c:pt>
                <c:pt idx="257">
                  <c:v>-119.54922222021187</c:v>
                </c:pt>
                <c:pt idx="258">
                  <c:v>-109.71517234151365</c:v>
                </c:pt>
                <c:pt idx="259">
                  <c:v>-99.847702158484935</c:v>
                </c:pt>
                <c:pt idx="260">
                  <c:v>-89.949817398132851</c:v>
                </c:pt>
                <c:pt idx="261">
                  <c:v>-80.024533052037341</c:v>
                </c:pt>
                <c:pt idx="262">
                  <c:v>-70.074872457959628</c:v>
                </c:pt>
                <c:pt idx="263">
                  <c:v>-60.103866378900683</c:v>
                </c:pt>
                <c:pt idx="264">
                  <c:v>-50.11455207990349</c:v>
                </c:pt>
                <c:pt idx="265">
                  <c:v>-40.109972402872209</c:v>
                </c:pt>
                <c:pt idx="266">
                  <c:v>-30.093174839692978</c:v>
                </c:pt>
                <c:pt idx="267">
                  <c:v>-20.067210603938449</c:v>
                </c:pt>
                <c:pt idx="268">
                  <c:v>-10.035133701438012</c:v>
                </c:pt>
                <c:pt idx="269">
                  <c:v>-1.0566905423586848E-13</c:v>
                </c:pt>
                <c:pt idx="270">
                  <c:v>10.0351337014378</c:v>
                </c:pt>
                <c:pt idx="271">
                  <c:v>20.067210603938236</c:v>
                </c:pt>
                <c:pt idx="272">
                  <c:v>30.093174839692768</c:v>
                </c:pt>
                <c:pt idx="273">
                  <c:v>40.109972402872003</c:v>
                </c:pt>
                <c:pt idx="274">
                  <c:v>50.114552079903284</c:v>
                </c:pt>
                <c:pt idx="275">
                  <c:v>60.103866378900463</c:v>
                </c:pt>
                <c:pt idx="276">
                  <c:v>70.074872457959913</c:v>
                </c:pt>
                <c:pt idx="277">
                  <c:v>80.02453305203764</c:v>
                </c:pt>
                <c:pt idx="278">
                  <c:v>89.949817398132637</c:v>
                </c:pt>
                <c:pt idx="279">
                  <c:v>99.847702158484736</c:v>
                </c:pt>
                <c:pt idx="280">
                  <c:v>109.71517234151294</c:v>
                </c:pt>
                <c:pt idx="281">
                  <c:v>119.54922222021118</c:v>
                </c:pt>
                <c:pt idx="282">
                  <c:v>129.34685624772234</c:v>
                </c:pt>
                <c:pt idx="283">
                  <c:v>139.10508996980877</c:v>
                </c:pt>
                <c:pt idx="284">
                  <c:v>148.82095093394966</c:v>
                </c:pt>
                <c:pt idx="285">
                  <c:v>158.49147959477466</c:v>
                </c:pt>
                <c:pt idx="286">
                  <c:v>168.11373021557361</c:v>
                </c:pt>
                <c:pt idx="287">
                  <c:v>177.68477176559466</c:v>
                </c:pt>
                <c:pt idx="288">
                  <c:v>187.20168881286489</c:v>
                </c:pt>
                <c:pt idx="289">
                  <c:v>196.66158241225918</c:v>
                </c:pt>
                <c:pt idx="290">
                  <c:v>206.06157098854723</c:v>
                </c:pt>
                <c:pt idx="291">
                  <c:v>215.39879121414938</c:v>
                </c:pt>
                <c:pt idx="292">
                  <c:v>224.67039888133226</c:v>
                </c:pt>
                <c:pt idx="293">
                  <c:v>233.8735697685853</c:v>
                </c:pt>
                <c:pt idx="294">
                  <c:v>243.00550050090229</c:v>
                </c:pt>
                <c:pt idx="295">
                  <c:v>252.0634094037195</c:v>
                </c:pt>
                <c:pt idx="296">
                  <c:v>261.0445373502393</c:v>
                </c:pt>
                <c:pt idx="297">
                  <c:v>269.94614860188699</c:v>
                </c:pt>
                <c:pt idx="298">
                  <c:v>278.76553164164346</c:v>
                </c:pt>
                <c:pt idx="299">
                  <c:v>287.50000000000006</c:v>
                </c:pt>
                <c:pt idx="300">
                  <c:v>296.14689307328115</c:v>
                </c:pt>
                <c:pt idx="301">
                  <c:v>304.70357693409267</c:v>
                </c:pt>
                <c:pt idx="302">
                  <c:v>313.16744513364034</c:v>
                </c:pt>
                <c:pt idx="303">
                  <c:v>321.53591949567908</c:v>
                </c:pt>
                <c:pt idx="304">
                  <c:v>329.80645090185146</c:v>
                </c:pt>
                <c:pt idx="305">
                  <c:v>337.97652006817191</c:v>
                </c:pt>
                <c:pt idx="306">
                  <c:v>346.04363831242756</c:v>
                </c:pt>
                <c:pt idx="307">
                  <c:v>354.00534831225366</c:v>
                </c:pt>
                <c:pt idx="308">
                  <c:v>361.85922485365654</c:v>
                </c:pt>
                <c:pt idx="309">
                  <c:v>369.60287556976004</c:v>
                </c:pt>
                <c:pt idx="310">
                  <c:v>377.23394166954154</c:v>
                </c:pt>
                <c:pt idx="311">
                  <c:v>384.75009865634325</c:v>
                </c:pt>
                <c:pt idx="312">
                  <c:v>392.14905703593638</c:v>
                </c:pt>
                <c:pt idx="313">
                  <c:v>399.42856301392305</c:v>
                </c:pt>
                <c:pt idx="314">
                  <c:v>406.5863991822647</c:v>
                </c:pt>
                <c:pt idx="315">
                  <c:v>413.62038519472424</c:v>
                </c:pt>
                <c:pt idx="316">
                  <c:v>420.52837843102316</c:v>
                </c:pt>
                <c:pt idx="317">
                  <c:v>427.3082746495017</c:v>
                </c:pt>
                <c:pt idx="318">
                  <c:v>433.95800862809386</c:v>
                </c:pt>
                <c:pt idx="319">
                  <c:v>440.47555479341224</c:v>
                </c:pt>
                <c:pt idx="320">
                  <c:v>446.85892783775807</c:v>
                </c:pt>
                <c:pt idx="321">
                  <c:v>453.10618332386491</c:v>
                </c:pt>
                <c:pt idx="322">
                  <c:v>459.21541827719335</c:v>
                </c:pt>
                <c:pt idx="323">
                  <c:v>465.18477176559475</c:v>
                </c:pt>
                <c:pt idx="324">
                  <c:v>471.01242546617016</c:v>
                </c:pt>
                <c:pt idx="325">
                  <c:v>476.69660421914881</c:v>
                </c:pt>
                <c:pt idx="326">
                  <c:v>482.23557656861885</c:v>
                </c:pt>
                <c:pt idx="327">
                  <c:v>487.62765528994458</c:v>
                </c:pt>
                <c:pt idx="328">
                  <c:v>492.87119790371446</c:v>
                </c:pt>
                <c:pt idx="329">
                  <c:v>497.96460717605208</c:v>
                </c:pt>
                <c:pt idx="330">
                  <c:v>502.90633160515262</c:v>
                </c:pt>
                <c:pt idx="331">
                  <c:v>507.69486589388293</c:v>
                </c:pt>
                <c:pt idx="332">
                  <c:v>512.32875140831152</c:v>
                </c:pt>
                <c:pt idx="333">
                  <c:v>516.80657662202111</c:v>
                </c:pt>
                <c:pt idx="334">
                  <c:v>521.12697754607359</c:v>
                </c:pt>
                <c:pt idx="335">
                  <c:v>525.28863814449551</c:v>
                </c:pt>
                <c:pt idx="336">
                  <c:v>529.29029073515301</c:v>
                </c:pt>
                <c:pt idx="337">
                  <c:v>533.13071637590269</c:v>
                </c:pt>
                <c:pt idx="338">
                  <c:v>536.80874523589091</c:v>
                </c:pt>
                <c:pt idx="339">
                  <c:v>540.32325695189729</c:v>
                </c:pt>
                <c:pt idx="340">
                  <c:v>543.67318096960696</c:v>
                </c:pt>
                <c:pt idx="341">
                  <c:v>546.85749686971326</c:v>
                </c:pt>
                <c:pt idx="342">
                  <c:v>549.87523467874553</c:v>
                </c:pt>
                <c:pt idx="343">
                  <c:v>552.72547516453324</c:v>
                </c:pt>
                <c:pt idx="344">
                  <c:v>555.40735011621427</c:v>
                </c:pt>
                <c:pt idx="345">
                  <c:v>557.92004260869794</c:v>
                </c:pt>
                <c:pt idx="346">
                  <c:v>560.26278725151019</c:v>
                </c:pt>
                <c:pt idx="347">
                  <c:v>562.43487042193817</c:v>
                </c:pt>
                <c:pt idx="348">
                  <c:v>564.43563048240674</c:v>
                </c:pt>
                <c:pt idx="349">
                  <c:v>566.26445798201951</c:v>
                </c:pt>
                <c:pt idx="350">
                  <c:v>567.92079584220414</c:v>
                </c:pt>
                <c:pt idx="351">
                  <c:v>569.4041395264029</c:v>
                </c:pt>
                <c:pt idx="352">
                  <c:v>570.71403719376019</c:v>
                </c:pt>
                <c:pt idx="353">
                  <c:v>571.85008983675709</c:v>
                </c:pt>
                <c:pt idx="354">
                  <c:v>572.81195140275372</c:v>
                </c:pt>
                <c:pt idx="355">
                  <c:v>573.59932889939898</c:v>
                </c:pt>
                <c:pt idx="356">
                  <c:v>574.21198248387998</c:v>
                </c:pt>
                <c:pt idx="357">
                  <c:v>574.64972553598011</c:v>
                </c:pt>
                <c:pt idx="358">
                  <c:v>574.91242471492501</c:v>
                </c:pt>
                <c:pt idx="359">
                  <c:v>575</c:v>
                </c:pt>
              </c:numCache>
            </c:numRef>
          </c:xVal>
          <c:yVal>
            <c:numRef>
              <c:f>Aufsicht!$O$11:$O$370</c:f>
              <c:numCache>
                <c:formatCode>General</c:formatCode>
                <c:ptCount val="360"/>
                <c:pt idx="0">
                  <c:v>10.035133701438019</c:v>
                </c:pt>
                <c:pt idx="1">
                  <c:v>20.067210603938058</c:v>
                </c:pt>
                <c:pt idx="2">
                  <c:v>30.093174839692701</c:v>
                </c:pt>
                <c:pt idx="3">
                  <c:v>40.109972402872046</c:v>
                </c:pt>
                <c:pt idx="4">
                  <c:v>50.114552079903447</c:v>
                </c:pt>
                <c:pt idx="5">
                  <c:v>60.10386637890074</c:v>
                </c:pt>
                <c:pt idx="6">
                  <c:v>70.074872457959799</c:v>
                </c:pt>
                <c:pt idx="7">
                  <c:v>80.024533052037626</c:v>
                </c:pt>
                <c:pt idx="8">
                  <c:v>89.949817398132751</c:v>
                </c:pt>
                <c:pt idx="9">
                  <c:v>99.847702158484935</c:v>
                </c:pt>
                <c:pt idx="10">
                  <c:v>109.71517234151327</c:v>
                </c:pt>
                <c:pt idx="11">
                  <c:v>119.5492222202116</c:v>
                </c:pt>
                <c:pt idx="12">
                  <c:v>129.34685624772237</c:v>
                </c:pt>
                <c:pt idx="13">
                  <c:v>139.10508996980894</c:v>
                </c:pt>
                <c:pt idx="14">
                  <c:v>148.82095093394943</c:v>
                </c:pt>
                <c:pt idx="15">
                  <c:v>158.49147959477452</c:v>
                </c:pt>
                <c:pt idx="16">
                  <c:v>168.11373021557364</c:v>
                </c:pt>
                <c:pt idx="17">
                  <c:v>177.68477176559475</c:v>
                </c:pt>
                <c:pt idx="18">
                  <c:v>187.20168881286506</c:v>
                </c:pt>
                <c:pt idx="19">
                  <c:v>196.66158241225952</c:v>
                </c:pt>
                <c:pt idx="20">
                  <c:v>206.06157098854766</c:v>
                </c:pt>
                <c:pt idx="21">
                  <c:v>215.39879121414941</c:v>
                </c:pt>
                <c:pt idx="22">
                  <c:v>224.67039888133237</c:v>
                </c:pt>
                <c:pt idx="23">
                  <c:v>233.8735697685851</c:v>
                </c:pt>
                <c:pt idx="24">
                  <c:v>243.00550050090217</c:v>
                </c:pt>
                <c:pt idx="25">
                  <c:v>252.0634094037195</c:v>
                </c:pt>
                <c:pt idx="26">
                  <c:v>261.04453735023935</c:v>
                </c:pt>
                <c:pt idx="27">
                  <c:v>269.94614860188722</c:v>
                </c:pt>
                <c:pt idx="28">
                  <c:v>278.7655316416438</c:v>
                </c:pt>
                <c:pt idx="29">
                  <c:v>287.49999999999994</c:v>
                </c:pt>
                <c:pt idx="30">
                  <c:v>296.14689307328115</c:v>
                </c:pt>
                <c:pt idx="31">
                  <c:v>304.70357693409284</c:v>
                </c:pt>
                <c:pt idx="32">
                  <c:v>313.16744513364057</c:v>
                </c:pt>
                <c:pt idx="33">
                  <c:v>321.53591949567948</c:v>
                </c:pt>
                <c:pt idx="34">
                  <c:v>329.80645090185146</c:v>
                </c:pt>
                <c:pt idx="35">
                  <c:v>337.97652006817208</c:v>
                </c:pt>
                <c:pt idx="36">
                  <c:v>346.04363831242773</c:v>
                </c:pt>
                <c:pt idx="37">
                  <c:v>354.00534831225343</c:v>
                </c:pt>
                <c:pt idx="38">
                  <c:v>361.85922485365649</c:v>
                </c:pt>
                <c:pt idx="39">
                  <c:v>369.60287556976004</c:v>
                </c:pt>
                <c:pt idx="40">
                  <c:v>377.23394166954159</c:v>
                </c:pt>
                <c:pt idx="41">
                  <c:v>384.75009865634348</c:v>
                </c:pt>
                <c:pt idx="42">
                  <c:v>392.14905703593661</c:v>
                </c:pt>
                <c:pt idx="43">
                  <c:v>399.42856301392339</c:v>
                </c:pt>
                <c:pt idx="44">
                  <c:v>406.58639918226481</c:v>
                </c:pt>
                <c:pt idx="45">
                  <c:v>413.62038519472435</c:v>
                </c:pt>
                <c:pt idx="46">
                  <c:v>420.52837843102299</c:v>
                </c:pt>
                <c:pt idx="47">
                  <c:v>427.30827464950164</c:v>
                </c:pt>
                <c:pt idx="48">
                  <c:v>433.95800862809392</c:v>
                </c:pt>
                <c:pt idx="49">
                  <c:v>440.47555479341236</c:v>
                </c:pt>
                <c:pt idx="50">
                  <c:v>446.85892783775819</c:v>
                </c:pt>
                <c:pt idx="51">
                  <c:v>453.10618332386514</c:v>
                </c:pt>
                <c:pt idx="52">
                  <c:v>459.21541827719335</c:v>
                </c:pt>
                <c:pt idx="53">
                  <c:v>465.1847717655948</c:v>
                </c:pt>
                <c:pt idx="54">
                  <c:v>471.01242546617027</c:v>
                </c:pt>
                <c:pt idx="55">
                  <c:v>476.69660421914898</c:v>
                </c:pt>
                <c:pt idx="56">
                  <c:v>482.23557656861874</c:v>
                </c:pt>
                <c:pt idx="57">
                  <c:v>487.62765528994493</c:v>
                </c:pt>
                <c:pt idx="58">
                  <c:v>492.87119790371452</c:v>
                </c:pt>
                <c:pt idx="59">
                  <c:v>497.9646071760522</c:v>
                </c:pt>
                <c:pt idx="60">
                  <c:v>502.90633160515256</c:v>
                </c:pt>
                <c:pt idx="61">
                  <c:v>507.69486589388293</c:v>
                </c:pt>
                <c:pt idx="62">
                  <c:v>512.32875140831152</c:v>
                </c:pt>
                <c:pt idx="63">
                  <c:v>516.806576622021</c:v>
                </c:pt>
                <c:pt idx="64">
                  <c:v>521.1269775460737</c:v>
                </c:pt>
                <c:pt idx="65">
                  <c:v>525.28863814449551</c:v>
                </c:pt>
                <c:pt idx="66">
                  <c:v>529.29029073515312</c:v>
                </c:pt>
                <c:pt idx="67">
                  <c:v>533.13071637590281</c:v>
                </c:pt>
                <c:pt idx="68">
                  <c:v>536.80874523589102</c:v>
                </c:pt>
                <c:pt idx="69">
                  <c:v>540.32325695189729</c:v>
                </c:pt>
                <c:pt idx="70">
                  <c:v>543.67318096960707</c:v>
                </c:pt>
                <c:pt idx="71">
                  <c:v>546.85749686971326</c:v>
                </c:pt>
                <c:pt idx="72">
                  <c:v>549.87523467874541</c:v>
                </c:pt>
                <c:pt idx="73">
                  <c:v>552.72547516453335</c:v>
                </c:pt>
                <c:pt idx="74">
                  <c:v>555.40735011621427</c:v>
                </c:pt>
                <c:pt idx="75">
                  <c:v>557.92004260869794</c:v>
                </c:pt>
                <c:pt idx="76">
                  <c:v>560.2627872515103</c:v>
                </c:pt>
                <c:pt idx="77">
                  <c:v>562.43487042193817</c:v>
                </c:pt>
                <c:pt idx="78">
                  <c:v>564.43563048240674</c:v>
                </c:pt>
                <c:pt idx="79">
                  <c:v>566.26445798201962</c:v>
                </c:pt>
                <c:pt idx="80">
                  <c:v>567.92079584220426</c:v>
                </c:pt>
                <c:pt idx="81">
                  <c:v>569.4041395264029</c:v>
                </c:pt>
                <c:pt idx="82">
                  <c:v>570.71403719376019</c:v>
                </c:pt>
                <c:pt idx="83">
                  <c:v>571.85008983675709</c:v>
                </c:pt>
                <c:pt idx="84">
                  <c:v>572.81195140275372</c:v>
                </c:pt>
                <c:pt idx="85">
                  <c:v>573.59932889939887</c:v>
                </c:pt>
                <c:pt idx="86">
                  <c:v>574.21198248387998</c:v>
                </c:pt>
                <c:pt idx="87">
                  <c:v>574.64972553598011</c:v>
                </c:pt>
                <c:pt idx="88">
                  <c:v>574.91242471492501</c:v>
                </c:pt>
                <c:pt idx="89">
                  <c:v>575</c:v>
                </c:pt>
                <c:pt idx="90">
                  <c:v>574.91242471492501</c:v>
                </c:pt>
                <c:pt idx="91">
                  <c:v>574.64972553598011</c:v>
                </c:pt>
                <c:pt idx="92">
                  <c:v>574.21198248387998</c:v>
                </c:pt>
                <c:pt idx="93">
                  <c:v>573.59932889939887</c:v>
                </c:pt>
                <c:pt idx="94">
                  <c:v>572.81195140275372</c:v>
                </c:pt>
                <c:pt idx="95">
                  <c:v>571.85008983675721</c:v>
                </c:pt>
                <c:pt idx="96">
                  <c:v>570.71403719376019</c:v>
                </c:pt>
                <c:pt idx="97">
                  <c:v>569.40413952640301</c:v>
                </c:pt>
                <c:pt idx="98">
                  <c:v>567.92079584220414</c:v>
                </c:pt>
                <c:pt idx="99">
                  <c:v>566.26445798201962</c:v>
                </c:pt>
                <c:pt idx="100">
                  <c:v>564.43563048240674</c:v>
                </c:pt>
                <c:pt idx="101">
                  <c:v>562.43487042193829</c:v>
                </c:pt>
                <c:pt idx="102">
                  <c:v>560.2627872515103</c:v>
                </c:pt>
                <c:pt idx="103">
                  <c:v>557.92004260869794</c:v>
                </c:pt>
                <c:pt idx="104">
                  <c:v>555.40735011621427</c:v>
                </c:pt>
                <c:pt idx="105">
                  <c:v>552.72547516453335</c:v>
                </c:pt>
                <c:pt idx="106">
                  <c:v>549.87523467874541</c:v>
                </c:pt>
                <c:pt idx="107">
                  <c:v>546.85749686971337</c:v>
                </c:pt>
                <c:pt idx="108">
                  <c:v>543.67318096960719</c:v>
                </c:pt>
                <c:pt idx="109">
                  <c:v>540.32325695189729</c:v>
                </c:pt>
                <c:pt idx="110">
                  <c:v>536.80874523589102</c:v>
                </c:pt>
                <c:pt idx="111">
                  <c:v>533.13071637590281</c:v>
                </c:pt>
                <c:pt idx="112">
                  <c:v>529.29029073515323</c:v>
                </c:pt>
                <c:pt idx="113">
                  <c:v>525.28863814449551</c:v>
                </c:pt>
                <c:pt idx="114">
                  <c:v>521.12697754607382</c:v>
                </c:pt>
                <c:pt idx="115">
                  <c:v>516.806576622021</c:v>
                </c:pt>
                <c:pt idx="116">
                  <c:v>512.32875140831152</c:v>
                </c:pt>
                <c:pt idx="117">
                  <c:v>507.6948658938831</c:v>
                </c:pt>
                <c:pt idx="118">
                  <c:v>502.90633160515262</c:v>
                </c:pt>
                <c:pt idx="119">
                  <c:v>497.96460717605225</c:v>
                </c:pt>
                <c:pt idx="120">
                  <c:v>492.87119790371457</c:v>
                </c:pt>
                <c:pt idx="121">
                  <c:v>487.62765528994498</c:v>
                </c:pt>
                <c:pt idx="122">
                  <c:v>482.23557656861874</c:v>
                </c:pt>
                <c:pt idx="123">
                  <c:v>476.69660421914898</c:v>
                </c:pt>
                <c:pt idx="124">
                  <c:v>471.01242546617038</c:v>
                </c:pt>
                <c:pt idx="125">
                  <c:v>465.1847717655948</c:v>
                </c:pt>
                <c:pt idx="126">
                  <c:v>459.21541827719329</c:v>
                </c:pt>
                <c:pt idx="127">
                  <c:v>453.10618332386514</c:v>
                </c:pt>
                <c:pt idx="128">
                  <c:v>446.85892783775836</c:v>
                </c:pt>
                <c:pt idx="129">
                  <c:v>440.47555479341236</c:v>
                </c:pt>
                <c:pt idx="130">
                  <c:v>433.95800862809381</c:v>
                </c:pt>
                <c:pt idx="131">
                  <c:v>427.3082746495017</c:v>
                </c:pt>
                <c:pt idx="132">
                  <c:v>420.5283784310231</c:v>
                </c:pt>
                <c:pt idx="133">
                  <c:v>413.62038519472458</c:v>
                </c:pt>
                <c:pt idx="134">
                  <c:v>406.58639918226487</c:v>
                </c:pt>
                <c:pt idx="135">
                  <c:v>399.42856301392334</c:v>
                </c:pt>
                <c:pt idx="136">
                  <c:v>392.14905703593666</c:v>
                </c:pt>
                <c:pt idx="137">
                  <c:v>384.75009865634354</c:v>
                </c:pt>
                <c:pt idx="138">
                  <c:v>377.23394166954171</c:v>
                </c:pt>
                <c:pt idx="139">
                  <c:v>369.60287556976022</c:v>
                </c:pt>
                <c:pt idx="140">
                  <c:v>361.85922485365671</c:v>
                </c:pt>
                <c:pt idx="141">
                  <c:v>354.0053483122536</c:v>
                </c:pt>
                <c:pt idx="142">
                  <c:v>346.04363831242767</c:v>
                </c:pt>
                <c:pt idx="143">
                  <c:v>337.97652006817214</c:v>
                </c:pt>
                <c:pt idx="144">
                  <c:v>329.80645090185169</c:v>
                </c:pt>
                <c:pt idx="145">
                  <c:v>321.53591949567948</c:v>
                </c:pt>
                <c:pt idx="146">
                  <c:v>313.16744513364051</c:v>
                </c:pt>
                <c:pt idx="147">
                  <c:v>304.70357693409284</c:v>
                </c:pt>
                <c:pt idx="148">
                  <c:v>296.14689307328126</c:v>
                </c:pt>
                <c:pt idx="149">
                  <c:v>287.49999999999994</c:v>
                </c:pt>
                <c:pt idx="150">
                  <c:v>278.76553164164386</c:v>
                </c:pt>
                <c:pt idx="151">
                  <c:v>269.94614860188739</c:v>
                </c:pt>
                <c:pt idx="152">
                  <c:v>261.04453735023947</c:v>
                </c:pt>
                <c:pt idx="153">
                  <c:v>252.06340940371945</c:v>
                </c:pt>
                <c:pt idx="154">
                  <c:v>243.0055005009022</c:v>
                </c:pt>
                <c:pt idx="155">
                  <c:v>233.87356976858524</c:v>
                </c:pt>
                <c:pt idx="156">
                  <c:v>224.67039888133263</c:v>
                </c:pt>
                <c:pt idx="157">
                  <c:v>215.39879121414953</c:v>
                </c:pt>
                <c:pt idx="158">
                  <c:v>206.06157098854763</c:v>
                </c:pt>
                <c:pt idx="159">
                  <c:v>196.66158241225961</c:v>
                </c:pt>
                <c:pt idx="160">
                  <c:v>187.20168881286529</c:v>
                </c:pt>
                <c:pt idx="161">
                  <c:v>177.6847717655948</c:v>
                </c:pt>
                <c:pt idx="162">
                  <c:v>168.11373021557381</c:v>
                </c:pt>
                <c:pt idx="163">
                  <c:v>158.4914795947748</c:v>
                </c:pt>
                <c:pt idx="164">
                  <c:v>148.82095093394958</c:v>
                </c:pt>
                <c:pt idx="165">
                  <c:v>139.10508996980894</c:v>
                </c:pt>
                <c:pt idx="166">
                  <c:v>129.34685624772226</c:v>
                </c:pt>
                <c:pt idx="167">
                  <c:v>119.5492222202116</c:v>
                </c:pt>
                <c:pt idx="168">
                  <c:v>109.71517234151335</c:v>
                </c:pt>
                <c:pt idx="169">
                  <c:v>99.847702158484907</c:v>
                </c:pt>
                <c:pt idx="170">
                  <c:v>89.949817398132808</c:v>
                </c:pt>
                <c:pt idx="171">
                  <c:v>80.024533052037796</c:v>
                </c:pt>
                <c:pt idx="172">
                  <c:v>70.074872457959842</c:v>
                </c:pt>
                <c:pt idx="173">
                  <c:v>60.103866378900896</c:v>
                </c:pt>
                <c:pt idx="174">
                  <c:v>50.114552079903717</c:v>
                </c:pt>
                <c:pt idx="175">
                  <c:v>40.109972402872174</c:v>
                </c:pt>
                <c:pt idx="176">
                  <c:v>30.09317483969269</c:v>
                </c:pt>
                <c:pt idx="177">
                  <c:v>20.067210603937902</c:v>
                </c:pt>
                <c:pt idx="178">
                  <c:v>10.035133701437978</c:v>
                </c:pt>
                <c:pt idx="179">
                  <c:v>7.0446036157245651E-14</c:v>
                </c:pt>
                <c:pt idx="180">
                  <c:v>-10.035133701437836</c:v>
                </c:pt>
                <c:pt idx="181">
                  <c:v>-20.067210603938019</c:v>
                </c:pt>
                <c:pt idx="182">
                  <c:v>-30.093174839692544</c:v>
                </c:pt>
                <c:pt idx="183">
                  <c:v>-40.109972402871776</c:v>
                </c:pt>
                <c:pt idx="184">
                  <c:v>-50.114552079903319</c:v>
                </c:pt>
                <c:pt idx="185">
                  <c:v>-60.103866378900506</c:v>
                </c:pt>
                <c:pt idx="186">
                  <c:v>-70.074872457959955</c:v>
                </c:pt>
                <c:pt idx="187">
                  <c:v>-80.024533052037668</c:v>
                </c:pt>
                <c:pt idx="188">
                  <c:v>-89.949817398132666</c:v>
                </c:pt>
                <c:pt idx="189">
                  <c:v>-99.847702158485021</c:v>
                </c:pt>
                <c:pt idx="190">
                  <c:v>-109.71517234151321</c:v>
                </c:pt>
                <c:pt idx="191">
                  <c:v>-119.54922222021146</c:v>
                </c:pt>
                <c:pt idx="192">
                  <c:v>-129.34685624772237</c:v>
                </c:pt>
                <c:pt idx="193">
                  <c:v>-139.10508996980883</c:v>
                </c:pt>
                <c:pt idx="194">
                  <c:v>-148.82095093394921</c:v>
                </c:pt>
                <c:pt idx="195">
                  <c:v>-158.49147959477443</c:v>
                </c:pt>
                <c:pt idx="196">
                  <c:v>-168.11373021557341</c:v>
                </c:pt>
                <c:pt idx="197">
                  <c:v>-177.68477176559495</c:v>
                </c:pt>
                <c:pt idx="198">
                  <c:v>-187.20168881286514</c:v>
                </c:pt>
                <c:pt idx="199">
                  <c:v>-196.66158241225949</c:v>
                </c:pt>
                <c:pt idx="200">
                  <c:v>-206.06157098854774</c:v>
                </c:pt>
                <c:pt idx="201">
                  <c:v>-215.39879121414941</c:v>
                </c:pt>
                <c:pt idx="202">
                  <c:v>-224.67039888133229</c:v>
                </c:pt>
                <c:pt idx="203">
                  <c:v>-233.8735697685849</c:v>
                </c:pt>
                <c:pt idx="204">
                  <c:v>-243.00550050090209</c:v>
                </c:pt>
                <c:pt idx="205">
                  <c:v>-252.06340940371931</c:v>
                </c:pt>
                <c:pt idx="206">
                  <c:v>-261.04453735023907</c:v>
                </c:pt>
                <c:pt idx="207">
                  <c:v>-269.94614860188727</c:v>
                </c:pt>
                <c:pt idx="208">
                  <c:v>-278.76553164164375</c:v>
                </c:pt>
                <c:pt idx="209">
                  <c:v>-287.50000000000006</c:v>
                </c:pt>
                <c:pt idx="210">
                  <c:v>-296.14689307328115</c:v>
                </c:pt>
                <c:pt idx="211">
                  <c:v>-304.70357693409278</c:v>
                </c:pt>
                <c:pt idx="212">
                  <c:v>-313.16744513364057</c:v>
                </c:pt>
                <c:pt idx="213">
                  <c:v>-321.53591949567937</c:v>
                </c:pt>
                <c:pt idx="214">
                  <c:v>-329.80645090185135</c:v>
                </c:pt>
                <c:pt idx="215">
                  <c:v>-337.97652006817196</c:v>
                </c:pt>
                <c:pt idx="216">
                  <c:v>-346.04363831242762</c:v>
                </c:pt>
                <c:pt idx="217">
                  <c:v>-354.00534831225326</c:v>
                </c:pt>
                <c:pt idx="218">
                  <c:v>-361.85922485365666</c:v>
                </c:pt>
                <c:pt idx="219">
                  <c:v>-369.60287556976004</c:v>
                </c:pt>
                <c:pt idx="220">
                  <c:v>-377.23394166954176</c:v>
                </c:pt>
                <c:pt idx="221">
                  <c:v>-384.75009865634348</c:v>
                </c:pt>
                <c:pt idx="222">
                  <c:v>-392.14905703593655</c:v>
                </c:pt>
                <c:pt idx="223">
                  <c:v>-399.42856301392351</c:v>
                </c:pt>
                <c:pt idx="224">
                  <c:v>-406.58639918226481</c:v>
                </c:pt>
                <c:pt idx="225">
                  <c:v>-413.62038519472424</c:v>
                </c:pt>
                <c:pt idx="226">
                  <c:v>-420.52837843102282</c:v>
                </c:pt>
                <c:pt idx="227">
                  <c:v>-427.30827464950158</c:v>
                </c:pt>
                <c:pt idx="228">
                  <c:v>-433.95800862809369</c:v>
                </c:pt>
                <c:pt idx="229">
                  <c:v>-440.4755547934123</c:v>
                </c:pt>
                <c:pt idx="230">
                  <c:v>-446.85892783775842</c:v>
                </c:pt>
                <c:pt idx="231">
                  <c:v>-453.1061833238652</c:v>
                </c:pt>
                <c:pt idx="232">
                  <c:v>-459.21541827719335</c:v>
                </c:pt>
                <c:pt idx="233">
                  <c:v>-465.18477176559475</c:v>
                </c:pt>
                <c:pt idx="234">
                  <c:v>-471.01242546617016</c:v>
                </c:pt>
                <c:pt idx="235">
                  <c:v>-476.69660421914881</c:v>
                </c:pt>
                <c:pt idx="236">
                  <c:v>-482.23557656861885</c:v>
                </c:pt>
                <c:pt idx="237">
                  <c:v>-487.62765528994493</c:v>
                </c:pt>
                <c:pt idx="238">
                  <c:v>-492.87119790371446</c:v>
                </c:pt>
                <c:pt idx="239">
                  <c:v>-497.96460717605208</c:v>
                </c:pt>
                <c:pt idx="240">
                  <c:v>-502.90633160515267</c:v>
                </c:pt>
                <c:pt idx="241">
                  <c:v>-507.69486589388299</c:v>
                </c:pt>
                <c:pt idx="242">
                  <c:v>-512.32875140831152</c:v>
                </c:pt>
                <c:pt idx="243">
                  <c:v>-516.80657662202088</c:v>
                </c:pt>
                <c:pt idx="244">
                  <c:v>-521.12697754607359</c:v>
                </c:pt>
                <c:pt idx="245">
                  <c:v>-525.28863814449551</c:v>
                </c:pt>
                <c:pt idx="246">
                  <c:v>-529.29029073515312</c:v>
                </c:pt>
                <c:pt idx="247">
                  <c:v>-533.13071637590269</c:v>
                </c:pt>
                <c:pt idx="248">
                  <c:v>-536.80874523589091</c:v>
                </c:pt>
                <c:pt idx="249">
                  <c:v>-540.32325695189718</c:v>
                </c:pt>
                <c:pt idx="250">
                  <c:v>-543.67318096960719</c:v>
                </c:pt>
                <c:pt idx="251">
                  <c:v>-546.85749686971326</c:v>
                </c:pt>
                <c:pt idx="252">
                  <c:v>-549.8752346787453</c:v>
                </c:pt>
                <c:pt idx="253">
                  <c:v>-552.72547516453346</c:v>
                </c:pt>
                <c:pt idx="254">
                  <c:v>-555.40735011621427</c:v>
                </c:pt>
                <c:pt idx="255">
                  <c:v>-557.92004260869794</c:v>
                </c:pt>
                <c:pt idx="256">
                  <c:v>-560.26278725151019</c:v>
                </c:pt>
                <c:pt idx="257">
                  <c:v>-562.43487042193817</c:v>
                </c:pt>
                <c:pt idx="258">
                  <c:v>-564.43563048240674</c:v>
                </c:pt>
                <c:pt idx="259">
                  <c:v>-566.26445798201962</c:v>
                </c:pt>
                <c:pt idx="260">
                  <c:v>-567.92079584220414</c:v>
                </c:pt>
                <c:pt idx="261">
                  <c:v>-569.40413952640301</c:v>
                </c:pt>
                <c:pt idx="262">
                  <c:v>-570.71403719376019</c:v>
                </c:pt>
                <c:pt idx="263">
                  <c:v>-571.85008983675721</c:v>
                </c:pt>
                <c:pt idx="264">
                  <c:v>-572.81195140275372</c:v>
                </c:pt>
                <c:pt idx="265">
                  <c:v>-573.59932889939887</c:v>
                </c:pt>
                <c:pt idx="266">
                  <c:v>-574.21198248387998</c:v>
                </c:pt>
                <c:pt idx="267">
                  <c:v>-574.64972553598</c:v>
                </c:pt>
                <c:pt idx="268">
                  <c:v>-574.91242471492501</c:v>
                </c:pt>
                <c:pt idx="269">
                  <c:v>-575</c:v>
                </c:pt>
                <c:pt idx="270">
                  <c:v>-574.91242471492501</c:v>
                </c:pt>
                <c:pt idx="271">
                  <c:v>-574.64972553598011</c:v>
                </c:pt>
                <c:pt idx="272">
                  <c:v>-574.21198248387998</c:v>
                </c:pt>
                <c:pt idx="273">
                  <c:v>-573.59932889939898</c:v>
                </c:pt>
                <c:pt idx="274">
                  <c:v>-572.81195140275372</c:v>
                </c:pt>
                <c:pt idx="275">
                  <c:v>-571.85008983675721</c:v>
                </c:pt>
                <c:pt idx="276">
                  <c:v>-570.71403719376019</c:v>
                </c:pt>
                <c:pt idx="277">
                  <c:v>-569.40413952640301</c:v>
                </c:pt>
                <c:pt idx="278">
                  <c:v>-567.92079584220426</c:v>
                </c:pt>
                <c:pt idx="279">
                  <c:v>-566.26445798201962</c:v>
                </c:pt>
                <c:pt idx="280">
                  <c:v>-564.43563048240685</c:v>
                </c:pt>
                <c:pt idx="281">
                  <c:v>-562.43487042193829</c:v>
                </c:pt>
                <c:pt idx="282">
                  <c:v>-560.2627872515103</c:v>
                </c:pt>
                <c:pt idx="283">
                  <c:v>-557.92004260869805</c:v>
                </c:pt>
                <c:pt idx="284">
                  <c:v>-555.40735011621416</c:v>
                </c:pt>
                <c:pt idx="285">
                  <c:v>-552.72547516453335</c:v>
                </c:pt>
                <c:pt idx="286">
                  <c:v>-549.87523467874541</c:v>
                </c:pt>
                <c:pt idx="287">
                  <c:v>-546.85749686971337</c:v>
                </c:pt>
                <c:pt idx="288">
                  <c:v>-543.6731809696073</c:v>
                </c:pt>
                <c:pt idx="289">
                  <c:v>-540.32325695189741</c:v>
                </c:pt>
                <c:pt idx="290">
                  <c:v>-536.80874523589114</c:v>
                </c:pt>
                <c:pt idx="291">
                  <c:v>-533.13071637590281</c:v>
                </c:pt>
                <c:pt idx="292">
                  <c:v>-529.29029073515323</c:v>
                </c:pt>
                <c:pt idx="293">
                  <c:v>-525.28863814449539</c:v>
                </c:pt>
                <c:pt idx="294">
                  <c:v>-521.1269775460737</c:v>
                </c:pt>
                <c:pt idx="295">
                  <c:v>-516.806576622021</c:v>
                </c:pt>
                <c:pt idx="296">
                  <c:v>-512.32875140831152</c:v>
                </c:pt>
                <c:pt idx="297">
                  <c:v>-507.6948658938831</c:v>
                </c:pt>
                <c:pt idx="298">
                  <c:v>-502.90633160515273</c:v>
                </c:pt>
                <c:pt idx="299">
                  <c:v>-497.9646071760522</c:v>
                </c:pt>
                <c:pt idx="300">
                  <c:v>-492.87119790371457</c:v>
                </c:pt>
                <c:pt idx="301">
                  <c:v>-487.62765528994504</c:v>
                </c:pt>
                <c:pt idx="302">
                  <c:v>-482.23557656861897</c:v>
                </c:pt>
                <c:pt idx="303">
                  <c:v>-476.69660421914921</c:v>
                </c:pt>
                <c:pt idx="304">
                  <c:v>-471.01242546617027</c:v>
                </c:pt>
                <c:pt idx="305">
                  <c:v>-465.18477176559486</c:v>
                </c:pt>
                <c:pt idx="306">
                  <c:v>-459.21541827719352</c:v>
                </c:pt>
                <c:pt idx="307">
                  <c:v>-453.10618332386503</c:v>
                </c:pt>
                <c:pt idx="308">
                  <c:v>-446.85892783775819</c:v>
                </c:pt>
                <c:pt idx="309">
                  <c:v>-440.47555479341241</c:v>
                </c:pt>
                <c:pt idx="310">
                  <c:v>-433.95800862809403</c:v>
                </c:pt>
                <c:pt idx="311">
                  <c:v>-427.30827464950187</c:v>
                </c:pt>
                <c:pt idx="312">
                  <c:v>-420.52837843102333</c:v>
                </c:pt>
                <c:pt idx="313">
                  <c:v>-413.62038519472475</c:v>
                </c:pt>
                <c:pt idx="314">
                  <c:v>-406.58639918226493</c:v>
                </c:pt>
                <c:pt idx="315">
                  <c:v>-399.42856301392362</c:v>
                </c:pt>
                <c:pt idx="316">
                  <c:v>-392.14905703593649</c:v>
                </c:pt>
                <c:pt idx="317">
                  <c:v>-384.75009865634343</c:v>
                </c:pt>
                <c:pt idx="318">
                  <c:v>-377.23394166954176</c:v>
                </c:pt>
                <c:pt idx="319">
                  <c:v>-369.60287556976027</c:v>
                </c:pt>
                <c:pt idx="320">
                  <c:v>-361.85922485365677</c:v>
                </c:pt>
                <c:pt idx="321">
                  <c:v>-354.00534831225383</c:v>
                </c:pt>
                <c:pt idx="322">
                  <c:v>-346.04363831242773</c:v>
                </c:pt>
                <c:pt idx="323">
                  <c:v>-337.97652006817219</c:v>
                </c:pt>
                <c:pt idx="324">
                  <c:v>-329.80645090185175</c:v>
                </c:pt>
                <c:pt idx="325">
                  <c:v>-321.53591949567971</c:v>
                </c:pt>
                <c:pt idx="326">
                  <c:v>-313.16744513364051</c:v>
                </c:pt>
                <c:pt idx="327">
                  <c:v>-304.70357693409335</c:v>
                </c:pt>
                <c:pt idx="328">
                  <c:v>-296.14689307328132</c:v>
                </c:pt>
                <c:pt idx="329">
                  <c:v>-287.50000000000023</c:v>
                </c:pt>
                <c:pt idx="330">
                  <c:v>-278.76553164164369</c:v>
                </c:pt>
                <c:pt idx="331">
                  <c:v>-269.94614860188722</c:v>
                </c:pt>
                <c:pt idx="332">
                  <c:v>-261.04453735023952</c:v>
                </c:pt>
                <c:pt idx="333">
                  <c:v>-252.06340940371928</c:v>
                </c:pt>
                <c:pt idx="334">
                  <c:v>-243.00550050090249</c:v>
                </c:pt>
                <c:pt idx="335">
                  <c:v>-233.8735697685851</c:v>
                </c:pt>
                <c:pt idx="336">
                  <c:v>-224.67039888133297</c:v>
                </c:pt>
                <c:pt idx="337">
                  <c:v>-215.39879121414961</c:v>
                </c:pt>
                <c:pt idx="338">
                  <c:v>-206.06157098854794</c:v>
                </c:pt>
                <c:pt idx="339">
                  <c:v>-196.66158241225943</c:v>
                </c:pt>
                <c:pt idx="340">
                  <c:v>-187.20168881286557</c:v>
                </c:pt>
                <c:pt idx="341">
                  <c:v>-177.68477176559489</c:v>
                </c:pt>
                <c:pt idx="342">
                  <c:v>-168.11373021557336</c:v>
                </c:pt>
                <c:pt idx="343">
                  <c:v>-158.49147959477486</c:v>
                </c:pt>
                <c:pt idx="344">
                  <c:v>-148.8209509339494</c:v>
                </c:pt>
                <c:pt idx="345">
                  <c:v>-139.10508996980903</c:v>
                </c:pt>
                <c:pt idx="346">
                  <c:v>-129.34685624772257</c:v>
                </c:pt>
                <c:pt idx="347">
                  <c:v>-119.54922222021193</c:v>
                </c:pt>
                <c:pt idx="348">
                  <c:v>-109.71517234151318</c:v>
                </c:pt>
                <c:pt idx="349">
                  <c:v>-99.84770215848549</c:v>
                </c:pt>
                <c:pt idx="350">
                  <c:v>-89.949817398132893</c:v>
                </c:pt>
                <c:pt idx="351">
                  <c:v>-80.024533052037881</c:v>
                </c:pt>
                <c:pt idx="352">
                  <c:v>-70.074872457960169</c:v>
                </c:pt>
                <c:pt idx="353">
                  <c:v>-60.103866378900712</c:v>
                </c:pt>
                <c:pt idx="354">
                  <c:v>-50.114552079903532</c:v>
                </c:pt>
                <c:pt idx="355">
                  <c:v>-40.10997240287174</c:v>
                </c:pt>
                <c:pt idx="356">
                  <c:v>-30.093174839693013</c:v>
                </c:pt>
                <c:pt idx="357">
                  <c:v>-20.067210603937973</c:v>
                </c:pt>
                <c:pt idx="358">
                  <c:v>-10.035133701438557</c:v>
                </c:pt>
                <c:pt idx="359">
                  <c:v>-1.408920723144913E-13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8-38D8-4176-9017-F4D9D0DE5634}"/>
            </c:ext>
          </c:extLst>
        </c:ser>
        <c:ser>
          <c:idx val="31"/>
          <c:order val="31"/>
          <c:tx>
            <c:strRef>
              <c:f>Aufsicht!$B$33</c:f>
              <c:strCache>
                <c:ptCount val="1"/>
                <c:pt idx="0">
                  <c:v>DL 0°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1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38D8-4176-9017-F4D9D0DE563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Aufsicht!$D$33:$D$34</c:f>
              <c:numCache>
                <c:formatCode>General</c:formatCode>
                <c:ptCount val="2"/>
                <c:pt idx="0">
                  <c:v>0</c:v>
                </c:pt>
                <c:pt idx="1">
                  <c:v>775</c:v>
                </c:pt>
              </c:numCache>
            </c:numRef>
          </c:xVal>
          <c:yVal>
            <c:numRef>
              <c:f>Aufsicht!$E$33:$E$34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A-38D8-4176-9017-F4D9D0DE5634}"/>
            </c:ext>
          </c:extLst>
        </c:ser>
        <c:ser>
          <c:idx val="32"/>
          <c:order val="32"/>
          <c:tx>
            <c:strRef>
              <c:f>Aufsicht!$B$36</c:f>
              <c:strCache>
                <c:ptCount val="1"/>
                <c:pt idx="0">
                  <c:v>45°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prstDash val="lgDashDot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38D8-4176-9017-F4D9D0DE5634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38D8-4176-9017-F4D9D0DE563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12019981361569E-2"/>
                  <c:y val="-3.072812522143084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38D8-4176-9017-F4D9D0DE563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Aufsicht!$D$36:$D$37</c:f>
              <c:numCache>
                <c:formatCode>General</c:formatCode>
                <c:ptCount val="2"/>
                <c:pt idx="0">
                  <c:v>0</c:v>
                </c:pt>
                <c:pt idx="1">
                  <c:v>548.00775541957432</c:v>
                </c:pt>
              </c:numCache>
            </c:numRef>
          </c:xVal>
          <c:yVal>
            <c:numRef>
              <c:f>Aufsicht!$E$36:$E$37</c:f>
              <c:numCache>
                <c:formatCode>General</c:formatCode>
                <c:ptCount val="2"/>
                <c:pt idx="0">
                  <c:v>0</c:v>
                </c:pt>
                <c:pt idx="1">
                  <c:v>548.00775541957432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E-38D8-4176-9017-F4D9D0DE5634}"/>
            </c:ext>
          </c:extLst>
        </c:ser>
        <c:ser>
          <c:idx val="33"/>
          <c:order val="33"/>
          <c:tx>
            <c:strRef>
              <c:f>Aufsicht!$B$39</c:f>
              <c:strCache>
                <c:ptCount val="1"/>
                <c:pt idx="0">
                  <c:v>90°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38D8-4176-9017-F4D9D0DE563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7360599440847072E-2"/>
                  <c:y val="-3.950758957041117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38D8-4176-9017-F4D9D0DE563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Aufsicht!$D$39:$D$40</c:f>
              <c:numCache>
                <c:formatCode>General</c:formatCode>
                <c:ptCount val="2"/>
                <c:pt idx="0">
                  <c:v>0</c:v>
                </c:pt>
                <c:pt idx="1">
                  <c:v>4.7474502627709025E-14</c:v>
                </c:pt>
              </c:numCache>
            </c:numRef>
          </c:xVal>
          <c:yVal>
            <c:numRef>
              <c:f>Aufsicht!$E$39:$E$40</c:f>
              <c:numCache>
                <c:formatCode>General</c:formatCode>
                <c:ptCount val="2"/>
                <c:pt idx="0">
                  <c:v>0</c:v>
                </c:pt>
                <c:pt idx="1">
                  <c:v>775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1-38D8-4176-9017-F4D9D0DE5634}"/>
            </c:ext>
          </c:extLst>
        </c:ser>
        <c:ser>
          <c:idx val="34"/>
          <c:order val="34"/>
          <c:tx>
            <c:strRef>
              <c:f>Aufsicht!$B$42</c:f>
              <c:strCache>
                <c:ptCount val="1"/>
                <c:pt idx="0">
                  <c:v>135°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prstDash val="lgDashDot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38D8-4176-9017-F4D9D0DE5634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4-38D8-4176-9017-F4D9D0DE563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6480799254462759E-2"/>
                  <c:y val="-3.072812522143084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38D8-4176-9017-F4D9D0DE563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Aufsicht!$D$42:$D$43</c:f>
              <c:numCache>
                <c:formatCode>General</c:formatCode>
                <c:ptCount val="2"/>
                <c:pt idx="0">
                  <c:v>0</c:v>
                </c:pt>
                <c:pt idx="1">
                  <c:v>-548.00775541957432</c:v>
                </c:pt>
              </c:numCache>
            </c:numRef>
          </c:xVal>
          <c:yVal>
            <c:numRef>
              <c:f>Aufsicht!$E$42:$E$43</c:f>
              <c:numCache>
                <c:formatCode>General</c:formatCode>
                <c:ptCount val="2"/>
                <c:pt idx="0">
                  <c:v>0</c:v>
                </c:pt>
                <c:pt idx="1">
                  <c:v>548.00775541957432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5-38D8-4176-9017-F4D9D0DE5634}"/>
            </c:ext>
          </c:extLst>
        </c:ser>
        <c:ser>
          <c:idx val="35"/>
          <c:order val="35"/>
          <c:tx>
            <c:strRef>
              <c:f>Aufsicht!$B$45</c:f>
              <c:strCache>
                <c:ptCount val="1"/>
                <c:pt idx="0">
                  <c:v>180°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0.11089715891897103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38D8-4176-9017-F4D9D0DE563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Aufsicht!$D$45:$D$46</c:f>
              <c:numCache>
                <c:formatCode>General</c:formatCode>
                <c:ptCount val="2"/>
                <c:pt idx="0">
                  <c:v>0</c:v>
                </c:pt>
                <c:pt idx="1">
                  <c:v>-775</c:v>
                </c:pt>
              </c:numCache>
            </c:numRef>
          </c:xVal>
          <c:yVal>
            <c:numRef>
              <c:f>Aufsicht!$E$45:$E$46</c:f>
              <c:numCache>
                <c:formatCode>General</c:formatCode>
                <c:ptCount val="2"/>
                <c:pt idx="0">
                  <c:v>0</c:v>
                </c:pt>
                <c:pt idx="1">
                  <c:v>9.4949005255418051E-14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7-38D8-4176-9017-F4D9D0DE5634}"/>
            </c:ext>
          </c:extLst>
        </c:ser>
        <c:ser>
          <c:idx val="36"/>
          <c:order val="36"/>
          <c:tx>
            <c:strRef>
              <c:f>Aufsicht!$B$48</c:f>
              <c:strCache>
                <c:ptCount val="1"/>
                <c:pt idx="0">
                  <c:v>225°</c:v>
                </c:pt>
              </c:strCache>
            </c:strRef>
          </c:tx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prstDash val="lgDashDot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38D8-4176-9017-F4D9D0DE5634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A-38D8-4176-9017-F4D9D0DE563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1776959105355271E-2"/>
                  <c:y val="3.072812522143087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38D8-4176-9017-F4D9D0DE563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Aufsicht!$D$48:$D$49</c:f>
              <c:numCache>
                <c:formatCode>General</c:formatCode>
                <c:ptCount val="2"/>
                <c:pt idx="0">
                  <c:v>0</c:v>
                </c:pt>
                <c:pt idx="1">
                  <c:v>-548.00775541957444</c:v>
                </c:pt>
              </c:numCache>
            </c:numRef>
          </c:xVal>
          <c:yVal>
            <c:numRef>
              <c:f>Aufsicht!$E$48:$E$49</c:f>
              <c:numCache>
                <c:formatCode>General</c:formatCode>
                <c:ptCount val="2"/>
                <c:pt idx="0">
                  <c:v>0</c:v>
                </c:pt>
                <c:pt idx="1">
                  <c:v>-548.00775541957432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B-38D8-4176-9017-F4D9D0DE5634}"/>
            </c:ext>
          </c:extLst>
        </c:ser>
        <c:ser>
          <c:idx val="37"/>
          <c:order val="37"/>
          <c:tx>
            <c:strRef>
              <c:f>Aufsicht!$B$51</c:f>
              <c:strCache>
                <c:ptCount val="1"/>
                <c:pt idx="0">
                  <c:v>270°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6.5008679366293343E-2"/>
                  <c:y val="3.51178573959210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38D8-4176-9017-F4D9D0DE563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Aufsicht!$D$51:$D$52</c:f>
              <c:numCache>
                <c:formatCode>General</c:formatCode>
                <c:ptCount val="2"/>
                <c:pt idx="0">
                  <c:v>0</c:v>
                </c:pt>
                <c:pt idx="1">
                  <c:v>-1.4242350788312708E-13</c:v>
                </c:pt>
              </c:numCache>
            </c:numRef>
          </c:xVal>
          <c:yVal>
            <c:numRef>
              <c:f>Aufsicht!$E$51:$E$52</c:f>
              <c:numCache>
                <c:formatCode>General</c:formatCode>
                <c:ptCount val="2"/>
                <c:pt idx="0">
                  <c:v>0</c:v>
                </c:pt>
                <c:pt idx="1">
                  <c:v>-775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D-38D8-4176-9017-F4D9D0DE5634}"/>
            </c:ext>
          </c:extLst>
        </c:ser>
        <c:ser>
          <c:idx val="38"/>
          <c:order val="38"/>
          <c:tx>
            <c:strRef>
              <c:f>Aufsicht!$B$54</c:f>
              <c:strCache>
                <c:ptCount val="1"/>
                <c:pt idx="0">
                  <c:v>315°</c:v>
                </c:pt>
              </c:strCache>
            </c:strRef>
          </c:tx>
          <c:spPr>
            <a:ln w="190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prstDash val="lgDashDot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38D8-4176-9017-F4D9D0DE5634}"/>
              </c:ext>
            </c:extLst>
          </c:dPt>
          <c:dLbls>
            <c:dLbl>
              <c:idx val="1"/>
              <c:layout>
                <c:manualLayout>
                  <c:x val="-1.912019981361569E-2"/>
                  <c:y val="3.511785739592100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38D8-4176-9017-F4D9D0DE563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Aufsicht!$D$54:$D$55</c:f>
              <c:numCache>
                <c:formatCode>General</c:formatCode>
                <c:ptCount val="2"/>
                <c:pt idx="0">
                  <c:v>0</c:v>
                </c:pt>
                <c:pt idx="1">
                  <c:v>548.00775541957421</c:v>
                </c:pt>
              </c:numCache>
            </c:numRef>
          </c:xVal>
          <c:yVal>
            <c:numRef>
              <c:f>Aufsicht!$E$54:$E$55</c:f>
              <c:numCache>
                <c:formatCode>General</c:formatCode>
                <c:ptCount val="2"/>
                <c:pt idx="0">
                  <c:v>0</c:v>
                </c:pt>
                <c:pt idx="1">
                  <c:v>-548.00775541957444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0-38D8-4176-9017-F4D9D0DE5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630696"/>
        <c:axId val="438631480"/>
      </c:scatterChart>
      <c:valAx>
        <c:axId val="438630696"/>
        <c:scaling>
          <c:orientation val="minMax"/>
          <c:max val="1500"/>
          <c:min val="-1500"/>
        </c:scaling>
        <c:delete val="1"/>
        <c:axPos val="b"/>
        <c:numFmt formatCode="General" sourceLinked="1"/>
        <c:majorTickMark val="none"/>
        <c:minorTickMark val="none"/>
        <c:tickLblPos val="nextTo"/>
        <c:crossAx val="438631480"/>
        <c:crosses val="autoZero"/>
        <c:crossBetween val="midCat"/>
      </c:valAx>
      <c:valAx>
        <c:axId val="438631480"/>
        <c:scaling>
          <c:orientation val="minMax"/>
          <c:max val="1500"/>
          <c:min val="-1500"/>
        </c:scaling>
        <c:delete val="1"/>
        <c:axPos val="l"/>
        <c:numFmt formatCode="General" sourceLinked="1"/>
        <c:majorTickMark val="none"/>
        <c:minorTickMark val="none"/>
        <c:tickLblPos val="nextTo"/>
        <c:crossAx val="438630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prstDash val="dashDot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16352928020275E-2"/>
          <c:y val="1.0813327140854301E-2"/>
          <c:w val="0.92146147769170872"/>
          <c:h val="0.966819151311320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Tabelle3!$K$7</c:f>
              <c:strCache>
                <c:ptCount val="1"/>
                <c:pt idx="0">
                  <c:v>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"/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10F-4EAB-96FB-CC3F9B37F21A}"/>
              </c:ext>
            </c:extLst>
          </c:dPt>
          <c:xVal>
            <c:numRef>
              <c:f>Tabelle3!$L$7:$L$8</c:f>
              <c:numCache>
                <c:formatCode>General</c:formatCode>
                <c:ptCount val="2"/>
                <c:pt idx="0">
                  <c:v>0</c:v>
                </c:pt>
                <c:pt idx="1">
                  <c:v>-500</c:v>
                </c:pt>
              </c:numCache>
            </c:numRef>
          </c:xVal>
          <c:yVal>
            <c:numRef>
              <c:f>Tabelle3!$M$7:$M$8</c:f>
              <c:numCache>
                <c:formatCode>General</c:formatCode>
                <c:ptCount val="2"/>
                <c:pt idx="0">
                  <c:v>170</c:v>
                </c:pt>
                <c:pt idx="1">
                  <c:v>170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10F-4EAB-96FB-CC3F9B37F21A}"/>
            </c:ext>
          </c:extLst>
        </c:ser>
        <c:ser>
          <c:idx val="1"/>
          <c:order val="1"/>
          <c:tx>
            <c:strRef>
              <c:f>Tabelle3!$K$9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Tabelle3!$L$9:$L$10</c:f>
              <c:numCache>
                <c:formatCode>General</c:formatCode>
                <c:ptCount val="2"/>
                <c:pt idx="0">
                  <c:v>-500</c:v>
                </c:pt>
                <c:pt idx="1">
                  <c:v>-500</c:v>
                </c:pt>
              </c:numCache>
            </c:numRef>
          </c:xVal>
          <c:yVal>
            <c:numRef>
              <c:f>Tabelle3!$M$9:$M$10</c:f>
              <c:numCache>
                <c:formatCode>General</c:formatCode>
                <c:ptCount val="2"/>
                <c:pt idx="0">
                  <c:v>170</c:v>
                </c:pt>
                <c:pt idx="1">
                  <c:v>500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910F-4EAB-96FB-CC3F9B37F21A}"/>
            </c:ext>
          </c:extLst>
        </c:ser>
        <c:ser>
          <c:idx val="2"/>
          <c:order val="2"/>
          <c:tx>
            <c:strRef>
              <c:f>Tabelle3!$K$11</c:f>
              <c:strCache>
                <c:ptCount val="1"/>
                <c:pt idx="0">
                  <c:v>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"/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10F-4EAB-96FB-CC3F9B37F21A}"/>
              </c:ext>
            </c:extLst>
          </c:dPt>
          <c:xVal>
            <c:numRef>
              <c:f>Tabelle3!$L$11:$L$12</c:f>
              <c:numCache>
                <c:formatCode>General</c:formatCode>
                <c:ptCount val="2"/>
                <c:pt idx="0">
                  <c:v>-500</c:v>
                </c:pt>
                <c:pt idx="1">
                  <c:v>-500</c:v>
                </c:pt>
              </c:numCache>
            </c:numRef>
          </c:xVal>
          <c:yVal>
            <c:numRef>
              <c:f>Tabelle3!$M$11:$M$12</c:f>
              <c:numCache>
                <c:formatCode>General</c:formatCode>
                <c:ptCount val="2"/>
                <c:pt idx="0">
                  <c:v>500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910F-4EAB-96FB-CC3F9B37F21A}"/>
            </c:ext>
          </c:extLst>
        </c:ser>
        <c:ser>
          <c:idx val="3"/>
          <c:order val="3"/>
          <c:tx>
            <c:strRef>
              <c:f>Tabelle3!$K$13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Tabelle3!$L$13:$L$19</c:f>
              <c:numCache>
                <c:formatCode>General</c:formatCode>
                <c:ptCount val="7"/>
                <c:pt idx="0">
                  <c:v>-500</c:v>
                </c:pt>
                <c:pt idx="1">
                  <c:v>-498.22814296703154</c:v>
                </c:pt>
                <c:pt idx="2">
                  <c:v>-493.03332099679079</c:v>
                </c:pt>
                <c:pt idx="3">
                  <c:v>-484.76955262170048</c:v>
                </c:pt>
                <c:pt idx="4">
                  <c:v>-474</c:v>
                </c:pt>
                <c:pt idx="5">
                  <c:v>-461.45859034533106</c:v>
                </c:pt>
                <c:pt idx="6">
                  <c:v>-448</c:v>
                </c:pt>
              </c:numCache>
            </c:numRef>
          </c:xVal>
          <c:yVal>
            <c:numRef>
              <c:f>Tabelle3!$M$13:$M$19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910F-4EAB-96FB-CC3F9B37F21A}"/>
            </c:ext>
          </c:extLst>
        </c:ser>
        <c:ser>
          <c:idx val="4"/>
          <c:order val="4"/>
          <c:tx>
            <c:strRef>
              <c:f>Tabelle3!$K$20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Tabelle3!$L$20:$L$21</c:f>
              <c:numCache>
                <c:formatCode>General</c:formatCode>
                <c:ptCount val="2"/>
                <c:pt idx="0">
                  <c:v>-448</c:v>
                </c:pt>
                <c:pt idx="1">
                  <c:v>-448</c:v>
                </c:pt>
              </c:numCache>
            </c:numRef>
          </c:xVal>
          <c:yVal>
            <c:numRef>
              <c:f>Tabelle3!$M$20:$M$21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910F-4EAB-96FB-CC3F9B37F21A}"/>
            </c:ext>
          </c:extLst>
        </c:ser>
        <c:ser>
          <c:idx val="5"/>
          <c:order val="5"/>
          <c:tx>
            <c:strRef>
              <c:f>Tabelle3!$G$22</c:f>
              <c:strCache>
                <c:ptCount val="1"/>
                <c:pt idx="0">
                  <c:v>#WERT!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261490404701664"/>
                  <c:y val="-4.416917605937906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borderCallout2">
                    <a:avLst/>
                  </a:prstGeom>
                </c15:spPr>
                <c15:showDataLabelsRange val="1"/>
                <c15:showLeaderLines val="1"/>
              </c:ext>
            </c:extLst>
          </c:dLbls>
          <c:xVal>
            <c:numRef>
              <c:f>Tabelle3!$L$22:$L$23</c:f>
              <c:numCache>
                <c:formatCode>General</c:formatCode>
                <c:ptCount val="2"/>
                <c:pt idx="0">
                  <c:v>-448</c:v>
                </c:pt>
                <c:pt idx="1">
                  <c:v>0</c:v>
                </c:pt>
              </c:numCache>
            </c:numRef>
          </c:xVal>
          <c:yVal>
            <c:numRef>
              <c:f>Tabelle3!$M$22:$M$23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910F-4EAB-96FB-CC3F9B37F21A}"/>
            </c:ext>
          </c:extLst>
        </c:ser>
        <c:ser>
          <c:idx val="6"/>
          <c:order val="6"/>
          <c:tx>
            <c:strRef>
              <c:f>Tabelle3!$K$24</c:f>
              <c:strCache>
                <c:ptCount val="1"/>
                <c:pt idx="0">
                  <c:v>7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Tabelle3!$L$24:$L$25</c:f>
              <c:numCache>
                <c:formatCode>General</c:formatCode>
                <c:ptCount val="2"/>
                <c:pt idx="0">
                  <c:v>0</c:v>
                </c:pt>
                <c:pt idx="1">
                  <c:v>152</c:v>
                </c:pt>
              </c:numCache>
            </c:numRef>
          </c:xVal>
          <c:yVal>
            <c:numRef>
              <c:f>Tabelle3!$M$24:$M$25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910F-4EAB-96FB-CC3F9B37F21A}"/>
            </c:ext>
          </c:extLst>
        </c:ser>
        <c:ser>
          <c:idx val="7"/>
          <c:order val="7"/>
          <c:tx>
            <c:strRef>
              <c:f>Tabelle3!$K$26</c:f>
              <c:strCache>
                <c:ptCount val="1"/>
                <c:pt idx="0">
                  <c:v>8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Tabelle3!$L$26:$L$27</c:f>
              <c:numCache>
                <c:formatCode>General</c:formatCode>
                <c:ptCount val="2"/>
                <c:pt idx="0">
                  <c:v>152</c:v>
                </c:pt>
                <c:pt idx="1">
                  <c:v>152</c:v>
                </c:pt>
              </c:numCache>
            </c:numRef>
          </c:xVal>
          <c:yVal>
            <c:numRef>
              <c:f>Tabelle3!$M$26:$M$27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910F-4EAB-96FB-CC3F9B37F21A}"/>
            </c:ext>
          </c:extLst>
        </c:ser>
        <c:ser>
          <c:idx val="8"/>
          <c:order val="8"/>
          <c:tx>
            <c:strRef>
              <c:f>Tabelle3!$K$28</c:f>
              <c:strCache>
                <c:ptCount val="1"/>
                <c:pt idx="0">
                  <c:v>9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Tabelle3!$L$28:$L$34</c:f>
              <c:numCache>
                <c:formatCode>General</c:formatCode>
                <c:ptCount val="7"/>
                <c:pt idx="0">
                  <c:v>152</c:v>
                </c:pt>
                <c:pt idx="1">
                  <c:v>242.06902769567722</c:v>
                </c:pt>
                <c:pt idx="2">
                  <c:v>326</c:v>
                </c:pt>
                <c:pt idx="3">
                  <c:v>398.07315985291859</c:v>
                </c:pt>
                <c:pt idx="4">
                  <c:v>453.37684051698466</c:v>
                </c:pt>
                <c:pt idx="5">
                  <c:v>488.14218754859576</c:v>
                </c:pt>
                <c:pt idx="6">
                  <c:v>500</c:v>
                </c:pt>
              </c:numCache>
            </c:numRef>
          </c:xVal>
          <c:yVal>
            <c:numRef>
              <c:f>Tabelle3!$M$28:$M$34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910F-4EAB-96FB-CC3F9B37F21A}"/>
            </c:ext>
          </c:extLst>
        </c:ser>
        <c:ser>
          <c:idx val="9"/>
          <c:order val="9"/>
          <c:tx>
            <c:strRef>
              <c:f>Tabelle3!$K$35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Tabelle3!$L$35:$L$36</c:f>
              <c:numCache>
                <c:formatCode>General</c:formatCode>
                <c:ptCount val="2"/>
                <c:pt idx="0">
                  <c:v>500</c:v>
                </c:pt>
                <c:pt idx="1">
                  <c:v>500</c:v>
                </c:pt>
              </c:numCache>
            </c:numRef>
          </c:xVal>
          <c:yVal>
            <c:numRef>
              <c:f>Tabelle3!$M$35:$M$36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910F-4EAB-96FB-CC3F9B37F21A}"/>
            </c:ext>
          </c:extLst>
        </c:ser>
        <c:ser>
          <c:idx val="10"/>
          <c:order val="10"/>
          <c:tx>
            <c:strRef>
              <c:f>Tabelle3!$K$37</c:f>
              <c:strCache>
                <c:ptCount val="1"/>
                <c:pt idx="0">
                  <c:v>11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Tabelle3!$L$37:$L$38</c:f>
              <c:numCache>
                <c:formatCode>General</c:formatCode>
                <c:ptCount val="2"/>
                <c:pt idx="0">
                  <c:v>500</c:v>
                </c:pt>
                <c:pt idx="1">
                  <c:v>500</c:v>
                </c:pt>
              </c:numCache>
            </c:numRef>
          </c:xVal>
          <c:yVal>
            <c:numRef>
              <c:f>Tabelle3!$M$37:$M$38</c:f>
              <c:numCache>
                <c:formatCode>General</c:formatCode>
                <c:ptCount val="2"/>
                <c:pt idx="0">
                  <c:v>0</c:v>
                </c:pt>
                <c:pt idx="1">
                  <c:v>170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910F-4EAB-96FB-CC3F9B37F21A}"/>
            </c:ext>
          </c:extLst>
        </c:ser>
        <c:ser>
          <c:idx val="11"/>
          <c:order val="11"/>
          <c:tx>
            <c:strRef>
              <c:f>Tabelle3!$K$39</c:f>
              <c:strCache>
                <c:ptCount val="1"/>
                <c:pt idx="0">
                  <c:v>12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Tabelle3!$L$39:$L$40</c:f>
              <c:numCache>
                <c:formatCode>General</c:formatCode>
                <c:ptCount val="2"/>
                <c:pt idx="0">
                  <c:v>500</c:v>
                </c:pt>
                <c:pt idx="1">
                  <c:v>0</c:v>
                </c:pt>
              </c:numCache>
            </c:numRef>
          </c:xVal>
          <c:yVal>
            <c:numRef>
              <c:f>Tabelle3!$M$39:$M$40</c:f>
              <c:numCache>
                <c:formatCode>General</c:formatCode>
                <c:ptCount val="2"/>
                <c:pt idx="0">
                  <c:v>170</c:v>
                </c:pt>
                <c:pt idx="1">
                  <c:v>170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1-910F-4EAB-96FB-CC3F9B37F21A}"/>
            </c:ext>
          </c:extLst>
        </c:ser>
        <c:ser>
          <c:idx val="12"/>
          <c:order val="12"/>
          <c:tx>
            <c:strRef>
              <c:f>Tabelle3!$K$41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Tabelle3!$L$41:$L$42</c:f>
              <c:numCache>
                <c:formatCode>General</c:formatCode>
                <c:ptCount val="2"/>
                <c:pt idx="0">
                  <c:v>0</c:v>
                </c:pt>
                <c:pt idx="1">
                  <c:v>-525</c:v>
                </c:pt>
              </c:numCache>
            </c:numRef>
          </c:xVal>
          <c:yVal>
            <c:numRef>
              <c:f>Tabelle3!$M$41:$M$42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910F-4EAB-96FB-CC3F9B37F21A}"/>
            </c:ext>
          </c:extLst>
        </c:ser>
        <c:ser>
          <c:idx val="13"/>
          <c:order val="13"/>
          <c:tx>
            <c:strRef>
              <c:f>Tabelle3!$K$43</c:f>
              <c:strCache>
                <c:ptCount val="1"/>
                <c:pt idx="0">
                  <c:v>14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Tabelle3!$L$43:$L$44</c:f>
              <c:numCache>
                <c:formatCode>General</c:formatCode>
                <c:ptCount val="2"/>
                <c:pt idx="0">
                  <c:v>-525</c:v>
                </c:pt>
                <c:pt idx="1">
                  <c:v>-525</c:v>
                </c:pt>
              </c:numCache>
            </c:numRef>
          </c:xVal>
          <c:yVal>
            <c:numRef>
              <c:f>Tabelle3!$M$43:$M$44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3-910F-4EAB-96FB-CC3F9B37F21A}"/>
            </c:ext>
          </c:extLst>
        </c:ser>
        <c:ser>
          <c:idx val="14"/>
          <c:order val="14"/>
          <c:tx>
            <c:strRef>
              <c:f>Tabelle3!$K$45</c:f>
              <c:strCache>
                <c:ptCount val="1"/>
                <c:pt idx="0">
                  <c:v>15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Tabelle3!$L$45:$L$46</c:f>
              <c:numCache>
                <c:formatCode>General</c:formatCode>
                <c:ptCount val="2"/>
                <c:pt idx="0">
                  <c:v>-525</c:v>
                </c:pt>
                <c:pt idx="1">
                  <c:v>-525</c:v>
                </c:pt>
              </c:numCache>
            </c:numRef>
          </c:xVal>
          <c:yVal>
            <c:numRef>
              <c:f>Tabelle3!$M$45:$M$46</c:f>
              <c:numCache>
                <c:formatCode>General</c:formatCode>
                <c:ptCount val="2"/>
                <c:pt idx="0">
                  <c:v>500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4-910F-4EAB-96FB-CC3F9B37F21A}"/>
            </c:ext>
          </c:extLst>
        </c:ser>
        <c:ser>
          <c:idx val="15"/>
          <c:order val="15"/>
          <c:tx>
            <c:strRef>
              <c:f>Tabelle3!$K$47</c:f>
              <c:strCache>
                <c:ptCount val="1"/>
                <c:pt idx="0">
                  <c:v>16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Tabelle3!$L$47:$L$53</c:f>
              <c:numCache>
                <c:formatCode>General</c:formatCode>
                <c:ptCount val="7"/>
                <c:pt idx="0">
                  <c:v>-525</c:v>
                </c:pt>
                <c:pt idx="1">
                  <c:v>-523.22814296703154</c:v>
                </c:pt>
                <c:pt idx="2">
                  <c:v>-518.03332099679085</c:v>
                </c:pt>
                <c:pt idx="3">
                  <c:v>-509.76955262170048</c:v>
                </c:pt>
                <c:pt idx="4">
                  <c:v>-499</c:v>
                </c:pt>
                <c:pt idx="5">
                  <c:v>-486.45859034533106</c:v>
                </c:pt>
                <c:pt idx="6">
                  <c:v>-473</c:v>
                </c:pt>
              </c:numCache>
            </c:numRef>
          </c:xVal>
          <c:yVal>
            <c:numRef>
              <c:f>Tabelle3!$M$47:$M$53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5-910F-4EAB-96FB-CC3F9B37F21A}"/>
            </c:ext>
          </c:extLst>
        </c:ser>
        <c:ser>
          <c:idx val="16"/>
          <c:order val="16"/>
          <c:tx>
            <c:strRef>
              <c:f>Tabelle3!$K$54</c:f>
              <c:strCache>
                <c:ptCount val="1"/>
                <c:pt idx="0">
                  <c:v>17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Tabelle3!$L$54:$L$55</c:f>
              <c:numCache>
                <c:formatCode>General</c:formatCode>
                <c:ptCount val="2"/>
                <c:pt idx="0">
                  <c:v>-473</c:v>
                </c:pt>
                <c:pt idx="1">
                  <c:v>-473</c:v>
                </c:pt>
              </c:numCache>
            </c:numRef>
          </c:xVal>
          <c:yVal>
            <c:numRef>
              <c:f>Tabelle3!$M$54:$M$55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6-910F-4EAB-96FB-CC3F9B37F21A}"/>
            </c:ext>
          </c:extLst>
        </c:ser>
        <c:ser>
          <c:idx val="17"/>
          <c:order val="17"/>
          <c:tx>
            <c:strRef>
              <c:f>Tabelle3!$K$56</c:f>
              <c:strCache>
                <c:ptCount val="1"/>
                <c:pt idx="0">
                  <c:v>18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16778799776818795"/>
                  <c:y val="-2.9446117372919425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Tabelle3!$L$56:$L$57</c:f>
              <c:numCache>
                <c:formatCode>General</c:formatCode>
                <c:ptCount val="2"/>
                <c:pt idx="0">
                  <c:v>-473</c:v>
                </c:pt>
                <c:pt idx="1">
                  <c:v>0</c:v>
                </c:pt>
              </c:numCache>
            </c:numRef>
          </c:xVal>
          <c:yVal>
            <c:numRef>
              <c:f>Tabelle3!$M$56:$M$57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9-910F-4EAB-96FB-CC3F9B37F21A}"/>
            </c:ext>
          </c:extLst>
        </c:ser>
        <c:ser>
          <c:idx val="18"/>
          <c:order val="18"/>
          <c:tx>
            <c:strRef>
              <c:f>Tabelle3!$G$21</c:f>
              <c:strCache>
                <c:ptCount val="1"/>
                <c:pt idx="0">
                  <c:v>#WERT!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5.3497622476813549E-2"/>
                  <c:y val="-4.416917605937913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9525"/>
            </c:spPr>
            <c:trendlineType val="linear"/>
            <c:dispRSqr val="0"/>
            <c:dispEq val="0"/>
          </c:trendline>
          <c:xVal>
            <c:numRef>
              <c:f>Tabelle3!$L$58:$L$59</c:f>
              <c:numCache>
                <c:formatCode>General</c:formatCode>
                <c:ptCount val="2"/>
                <c:pt idx="0">
                  <c:v>0</c:v>
                </c:pt>
                <c:pt idx="1">
                  <c:v>177</c:v>
                </c:pt>
              </c:numCache>
            </c:numRef>
          </c:xVal>
          <c:yVal>
            <c:numRef>
              <c:f>Tabelle3!$M$58:$M$59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D-910F-4EAB-96FB-CC3F9B37F21A}"/>
            </c:ext>
          </c:extLst>
        </c:ser>
        <c:ser>
          <c:idx val="19"/>
          <c:order val="19"/>
          <c:tx>
            <c:strRef>
              <c:f>Tabelle3!$K$60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Tabelle3!$L$60:$L$61</c:f>
              <c:numCache>
                <c:formatCode>General</c:formatCode>
                <c:ptCount val="2"/>
                <c:pt idx="0">
                  <c:v>177</c:v>
                </c:pt>
                <c:pt idx="1">
                  <c:v>177</c:v>
                </c:pt>
              </c:numCache>
            </c:numRef>
          </c:xVal>
          <c:yVal>
            <c:numRef>
              <c:f>Tabelle3!$M$60:$M$61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E-910F-4EAB-96FB-CC3F9B37F21A}"/>
            </c:ext>
          </c:extLst>
        </c:ser>
        <c:ser>
          <c:idx val="20"/>
          <c:order val="20"/>
          <c:tx>
            <c:strRef>
              <c:f>Tabelle3!$K$62</c:f>
              <c:strCache>
                <c:ptCount val="1"/>
                <c:pt idx="0">
                  <c:v>21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Tabelle3!$L$62:$L$68</c:f>
              <c:numCache>
                <c:formatCode>General</c:formatCode>
                <c:ptCount val="7"/>
                <c:pt idx="0">
                  <c:v>177</c:v>
                </c:pt>
                <c:pt idx="1">
                  <c:v>267.06902769567722</c:v>
                </c:pt>
                <c:pt idx="2">
                  <c:v>351</c:v>
                </c:pt>
                <c:pt idx="3">
                  <c:v>423.07315985291859</c:v>
                </c:pt>
                <c:pt idx="4">
                  <c:v>478.37684051698466</c:v>
                </c:pt>
                <c:pt idx="5">
                  <c:v>513.14218754859576</c:v>
                </c:pt>
                <c:pt idx="6">
                  <c:v>525</c:v>
                </c:pt>
              </c:numCache>
            </c:numRef>
          </c:xVal>
          <c:yVal>
            <c:numRef>
              <c:f>Tabelle3!$M$62:$M$68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F-910F-4EAB-96FB-CC3F9B37F21A}"/>
            </c:ext>
          </c:extLst>
        </c:ser>
        <c:ser>
          <c:idx val="21"/>
          <c:order val="21"/>
          <c:tx>
            <c:strRef>
              <c:f>Tabelle3!$K$69</c:f>
              <c:strCache>
                <c:ptCount val="1"/>
                <c:pt idx="0">
                  <c:v>22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Tabelle3!$L$69:$L$70</c:f>
              <c:numCache>
                <c:formatCode>General</c:formatCode>
                <c:ptCount val="2"/>
                <c:pt idx="0">
                  <c:v>525</c:v>
                </c:pt>
                <c:pt idx="1">
                  <c:v>525</c:v>
                </c:pt>
              </c:numCache>
            </c:numRef>
          </c:xVal>
          <c:yVal>
            <c:numRef>
              <c:f>Tabelle3!$M$69:$M$70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0-910F-4EAB-96FB-CC3F9B37F21A}"/>
            </c:ext>
          </c:extLst>
        </c:ser>
        <c:ser>
          <c:idx val="22"/>
          <c:order val="22"/>
          <c:tx>
            <c:strRef>
              <c:f>Tabelle3!$K$71</c:f>
              <c:strCache>
                <c:ptCount val="1"/>
                <c:pt idx="0">
                  <c:v>23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Tabelle3!$L$71:$L$72</c:f>
              <c:numCache>
                <c:formatCode>General</c:formatCode>
                <c:ptCount val="2"/>
                <c:pt idx="0">
                  <c:v>525</c:v>
                </c:pt>
                <c:pt idx="1">
                  <c:v>525</c:v>
                </c:pt>
              </c:numCache>
            </c:numRef>
          </c:xVal>
          <c:yVal>
            <c:numRef>
              <c:f>Tabelle3!$M$71:$M$72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1-910F-4EAB-96FB-CC3F9B37F21A}"/>
            </c:ext>
          </c:extLst>
        </c:ser>
        <c:ser>
          <c:idx val="23"/>
          <c:order val="23"/>
          <c:tx>
            <c:strRef>
              <c:f>Tabelle3!$K$73</c:f>
              <c:strCache>
                <c:ptCount val="1"/>
                <c:pt idx="0">
                  <c:v>24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Tabelle3!$L$73:$L$74</c:f>
              <c:numCache>
                <c:formatCode>General</c:formatCode>
                <c:ptCount val="2"/>
                <c:pt idx="0">
                  <c:v>525</c:v>
                </c:pt>
                <c:pt idx="1">
                  <c:v>0</c:v>
                </c:pt>
              </c:numCache>
            </c:numRef>
          </c:xVal>
          <c:yVal>
            <c:numRef>
              <c:f>Tabelle3!$M$73:$M$74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2-910F-4EAB-96FB-CC3F9B37F21A}"/>
            </c:ext>
          </c:extLst>
        </c:ser>
        <c:ser>
          <c:idx val="24"/>
          <c:order val="24"/>
          <c:tx>
            <c:strRef>
              <c:f>Tabelle3!$K$75</c:f>
              <c:strCache>
                <c:ptCount val="1"/>
                <c:pt idx="0">
                  <c:v>25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30882718429796902"/>
                  <c:y val="-0.16747479255847925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Tabelle3!$L$75:$L$76</c:f>
              <c:numCache>
                <c:formatCode>General</c:formatCode>
                <c:ptCount val="2"/>
                <c:pt idx="0">
                  <c:v>-448</c:v>
                </c:pt>
                <c:pt idx="1">
                  <c:v>-448</c:v>
                </c:pt>
              </c:numCache>
            </c:numRef>
          </c:xVal>
          <c:yVal>
            <c:numRef>
              <c:f>Tabelle3!$M$75:$M$76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5-910F-4EAB-96FB-CC3F9B37F21A}"/>
            </c:ext>
          </c:extLst>
        </c:ser>
        <c:ser>
          <c:idx val="25"/>
          <c:order val="25"/>
          <c:tx>
            <c:strRef>
              <c:f>Tabelle3!$K$77</c:f>
              <c:strCache>
                <c:ptCount val="1"/>
                <c:pt idx="0">
                  <c:v>26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9180521350989207E-2"/>
                  <c:y val="-4.232879372357181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Tabelle3!$L$77:$L$78</c:f>
              <c:numCache>
                <c:formatCode>General</c:formatCode>
                <c:ptCount val="2"/>
                <c:pt idx="0">
                  <c:v>152</c:v>
                </c:pt>
                <c:pt idx="1">
                  <c:v>152</c:v>
                </c:pt>
              </c:numCache>
            </c:numRef>
          </c:xVal>
          <c:yVal>
            <c:numRef>
              <c:f>Tabelle3!$M$77:$M$78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8-910F-4EAB-96FB-CC3F9B37F21A}"/>
            </c:ext>
          </c:extLst>
        </c:ser>
        <c:ser>
          <c:idx val="26"/>
          <c:order val="26"/>
          <c:tx>
            <c:v>E+Tabelle3!$T$5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Tabelle3!$W$5:$W$6</c:f>
              <c:numCache>
                <c:formatCode>General</c:formatCode>
                <c:ptCount val="2"/>
                <c:pt idx="0">
                  <c:v>0</c:v>
                </c:pt>
                <c:pt idx="1">
                  <c:v>-700</c:v>
                </c:pt>
              </c:numCache>
            </c:numRef>
          </c:xVal>
          <c:yVal>
            <c:numRef>
              <c:f>Tabelle3!$X$5:$X$6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9-910F-4EAB-96FB-CC3F9B37F21A}"/>
            </c:ext>
          </c:extLst>
        </c:ser>
        <c:ser>
          <c:idx val="27"/>
          <c:order val="27"/>
          <c:tx>
            <c:v>EL 2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Tabelle3!$W$7:$W$8</c:f>
              <c:numCache>
                <c:formatCode>General</c:formatCode>
                <c:ptCount val="2"/>
                <c:pt idx="0">
                  <c:v>-700</c:v>
                </c:pt>
                <c:pt idx="1">
                  <c:v>-700</c:v>
                </c:pt>
              </c:numCache>
            </c:numRef>
          </c:xVal>
          <c:yVal>
            <c:numRef>
              <c:f>Tabelle3!$X$7:$X$8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A-910F-4EAB-96FB-CC3F9B37F21A}"/>
            </c:ext>
          </c:extLst>
        </c:ser>
        <c:ser>
          <c:idx val="28"/>
          <c:order val="28"/>
          <c:tx>
            <c:v>EL+Tabelle3!$S$9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Tabelle3!$W$9:$W$10</c:f>
              <c:numCache>
                <c:formatCode>General</c:formatCode>
                <c:ptCount val="2"/>
                <c:pt idx="0">
                  <c:v>-700</c:v>
                </c:pt>
                <c:pt idx="1">
                  <c:v>0</c:v>
                </c:pt>
              </c:numCache>
            </c:numRef>
          </c:xVal>
          <c:yVal>
            <c:numRef>
              <c:f>Tabelle3!$X$9:$X$10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B-910F-4EAB-96FB-CC3F9B37F21A}"/>
            </c:ext>
          </c:extLst>
        </c:ser>
        <c:ser>
          <c:idx val="29"/>
          <c:order val="29"/>
          <c:tx>
            <c:v>EL+Tabelle3!$S$11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Tabelle3!$W$11:$W$12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Tabelle3!$X$11:$X$12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C-910F-4EAB-96FB-CC3F9B37F21A}"/>
            </c:ext>
          </c:extLst>
        </c:ser>
        <c:ser>
          <c:idx val="30"/>
          <c:order val="30"/>
          <c:tx>
            <c:v>EL+Tabelle3!$S$13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Tabelle3!$W$13:$W$14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Tabelle3!$X$13:$X$14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D-910F-4EAB-96FB-CC3F9B37F21A}"/>
            </c:ext>
          </c:extLst>
        </c:ser>
        <c:ser>
          <c:idx val="31"/>
          <c:order val="31"/>
          <c:tx>
            <c:v>EL+Tabelle3!$S$15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Tabelle3!$W$15:$W$16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Tabelle3!$X$15:$X$16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E-910F-4EAB-96FB-CC3F9B37F21A}"/>
            </c:ext>
          </c:extLst>
        </c:ser>
        <c:ser>
          <c:idx val="32"/>
          <c:order val="32"/>
          <c:tx>
            <c:v>EL+Tabelle3!$S$17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Tabelle3!$W$17:$W$18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Tabelle3!$X$17:$X$18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F-910F-4EAB-96FB-CC3F9B37F21A}"/>
            </c:ext>
          </c:extLst>
        </c:ser>
        <c:ser>
          <c:idx val="33"/>
          <c:order val="33"/>
          <c:tx>
            <c:v>EL+Tabelle3!$S$19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Tabelle3!$W$19:$W$20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Tabelle3!$X$19:$X$20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0-910F-4EAB-96FB-CC3F9B37F21A}"/>
            </c:ext>
          </c:extLst>
        </c:ser>
        <c:ser>
          <c:idx val="34"/>
          <c:order val="34"/>
          <c:tx>
            <c:v>EL+Tabelle3!$S$21</c:v>
          </c:tx>
          <c:spPr>
            <a:ln w="9525" cap="rnd">
              <a:solidFill>
                <a:schemeClr val="accent5">
                  <a:lumMod val="50000"/>
                </a:schemeClr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Tabelle3!$W$21:$W$22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Tabelle3!$X$21:$X$22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1-910F-4EAB-96FB-CC3F9B37F21A}"/>
            </c:ext>
          </c:extLst>
        </c:ser>
        <c:ser>
          <c:idx val="35"/>
          <c:order val="35"/>
          <c:tx>
            <c:v>EL+Tabelle3!$S$23</c:v>
          </c:tx>
          <c:spPr>
            <a:ln w="9525" cap="rnd">
              <a:solidFill>
                <a:schemeClr val="accent6">
                  <a:lumMod val="50000"/>
                </a:schemeClr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Tabelle3!$W$23:$W$24</c:f>
              <c:numCache>
                <c:formatCode>General</c:formatCode>
                <c:ptCount val="2"/>
                <c:pt idx="0">
                  <c:v>0</c:v>
                </c:pt>
                <c:pt idx="1">
                  <c:v>-830</c:v>
                </c:pt>
              </c:numCache>
            </c:numRef>
          </c:xVal>
          <c:yVal>
            <c:numRef>
              <c:f>Tabelle3!$X$23:$X$24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2-910F-4EAB-96FB-CC3F9B37F21A}"/>
            </c:ext>
          </c:extLst>
        </c:ser>
        <c:ser>
          <c:idx val="36"/>
          <c:order val="36"/>
          <c:tx>
            <c:v>DL+Tabelle3!$Y$5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Tabelle3!$AC$5:$AC$6</c:f>
              <c:numCache>
                <c:formatCode>General</c:formatCode>
                <c:ptCount val="2"/>
                <c:pt idx="0">
                  <c:v>180</c:v>
                </c:pt>
                <c:pt idx="1">
                  <c:v>628</c:v>
                </c:pt>
              </c:numCache>
            </c:numRef>
          </c:xVal>
          <c:yVal>
            <c:numRef>
              <c:f>Tabelle3!$AD$5:$AD$6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3-910F-4EAB-96FB-CC3F9B37F21A}"/>
            </c:ext>
          </c:extLst>
        </c:ser>
        <c:ser>
          <c:idx val="37"/>
          <c:order val="37"/>
          <c:tx>
            <c:strRef>
              <c:f>Tabelle3!$AB$7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Tabelle3!$AC$7:$AC$8</c:f>
              <c:numCache>
                <c:formatCode>General</c:formatCode>
                <c:ptCount val="2"/>
                <c:pt idx="0">
                  <c:v>180</c:v>
                </c:pt>
                <c:pt idx="1">
                  <c:v>628</c:v>
                </c:pt>
              </c:numCache>
            </c:numRef>
          </c:xVal>
          <c:yVal>
            <c:numRef>
              <c:f>Tabelle3!$AD$7:$AD$8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4-910F-4EAB-96FB-CC3F9B37F21A}"/>
            </c:ext>
          </c:extLst>
        </c:ser>
        <c:ser>
          <c:idx val="38"/>
          <c:order val="38"/>
          <c:tx>
            <c:v>DL+Tabelle3!$Y$9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Tabelle3!$AC$9:$AC$10</c:f>
              <c:numCache>
                <c:formatCode>General</c:formatCode>
                <c:ptCount val="2"/>
                <c:pt idx="0">
                  <c:v>628</c:v>
                </c:pt>
                <c:pt idx="1">
                  <c:v>628</c:v>
                </c:pt>
              </c:numCache>
            </c:numRef>
          </c:xVal>
          <c:yVal>
            <c:numRef>
              <c:f>Tabelle3!$AD$9:$AD$10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5-910F-4EAB-96FB-CC3F9B37F21A}"/>
            </c:ext>
          </c:extLst>
        </c:ser>
        <c:ser>
          <c:idx val="39"/>
          <c:order val="39"/>
          <c:tx>
            <c:strRef>
              <c:f>Tabelle3!$AB$11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Tabelle3!$AC$11:$AC$12</c:f>
              <c:numCache>
                <c:formatCode>General</c:formatCode>
                <c:ptCount val="2"/>
                <c:pt idx="0">
                  <c:v>180</c:v>
                </c:pt>
                <c:pt idx="1">
                  <c:v>180</c:v>
                </c:pt>
              </c:numCache>
            </c:numRef>
          </c:xVal>
          <c:yVal>
            <c:numRef>
              <c:f>Tabelle3!$AD$11:$AD$12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6-910F-4EAB-96FB-CC3F9B37F21A}"/>
            </c:ext>
          </c:extLst>
        </c:ser>
        <c:ser>
          <c:idx val="40"/>
          <c:order val="40"/>
          <c:tx>
            <c:v>DL+Tabelle3!$Y$13</c:v>
          </c:tx>
          <c:spPr>
            <a:ln w="9525" cap="rnd">
              <a:solidFill>
                <a:schemeClr val="tx1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Tabelle3!$AC$13:$AC$14</c:f>
              <c:numCache>
                <c:formatCode>General</c:formatCode>
                <c:ptCount val="2"/>
                <c:pt idx="0">
                  <c:v>778</c:v>
                </c:pt>
                <c:pt idx="1">
                  <c:v>30</c:v>
                </c:pt>
              </c:numCache>
            </c:numRef>
          </c:xVal>
          <c:yVal>
            <c:numRef>
              <c:f>Tabelle3!$AD$13:$AD$14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7-910F-4EAB-96FB-CC3F9B37F21A}"/>
            </c:ext>
          </c:extLst>
        </c:ser>
        <c:ser>
          <c:idx val="41"/>
          <c:order val="41"/>
          <c:tx>
            <c:strRef>
              <c:f>Tabelle3!$Z$18</c:f>
              <c:strCache>
                <c:ptCount val="1"/>
                <c:pt idx="0">
                  <c:v>#WERT!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854593602485935E-2"/>
                  <c:y val="1.477711086057437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12700"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CH" sz="900" b="0" i="0" u="none" strike="noStrike" kern="1200" baseline="0">
                    <a:ln w="6350">
                      <a:solidFill>
                        <a:schemeClr val="accent5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Tabelle3!$AC$18:$AC$19</c:f>
              <c:numCache>
                <c:formatCode>General</c:formatCode>
                <c:ptCount val="2"/>
                <c:pt idx="0">
                  <c:v>-1000</c:v>
                </c:pt>
                <c:pt idx="1">
                  <c:v>650</c:v>
                </c:pt>
              </c:numCache>
            </c:numRef>
          </c:xVal>
          <c:yVal>
            <c:numRef>
              <c:f>Tabelle3!$AD$18:$AD$19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A-910F-4EAB-96FB-CC3F9B37F21A}"/>
            </c:ext>
          </c:extLst>
        </c:ser>
        <c:ser>
          <c:idx val="42"/>
          <c:order val="42"/>
          <c:tx>
            <c:strRef>
              <c:f>Tabelle3!$Z$20</c:f>
              <c:strCache>
                <c:ptCount val="1"/>
                <c:pt idx="0">
                  <c:v>#WERT!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840215178831088E-2"/>
                  <c:y val="1.542815412114506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 w="6350">
                      <a:solidFill>
                        <a:schemeClr val="accent5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Tabelle3!$AC$20:$AC$21</c:f>
              <c:numCache>
                <c:formatCode>General</c:formatCode>
                <c:ptCount val="2"/>
                <c:pt idx="0">
                  <c:v>-1000</c:v>
                </c:pt>
                <c:pt idx="1">
                  <c:v>650</c:v>
                </c:pt>
              </c:numCache>
            </c:numRef>
          </c:xVal>
          <c:yVal>
            <c:numRef>
              <c:f>Tabelle3!$AD$20:$AD$21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D-910F-4EAB-96FB-CC3F9B37F21A}"/>
            </c:ext>
          </c:extLst>
        </c:ser>
        <c:ser>
          <c:idx val="43"/>
          <c:order val="43"/>
          <c:tx>
            <c:strRef>
              <c:f>Tabelle3!$Z$16</c:f>
              <c:strCache>
                <c:ptCount val="1"/>
                <c:pt idx="0">
                  <c:v>H SU 170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6626232092592548E-2"/>
                  <c:y val="1.388387332373049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CH" sz="900" b="0" i="0" u="none" strike="noStrike" kern="1200" baseline="0">
                    <a:ln w="6350">
                      <a:solidFill>
                        <a:schemeClr val="accent5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Tabelle3!$AC$16:$AC$17</c:f>
              <c:numCache>
                <c:formatCode>General</c:formatCode>
                <c:ptCount val="2"/>
                <c:pt idx="0">
                  <c:v>-1000</c:v>
                </c:pt>
                <c:pt idx="1">
                  <c:v>650</c:v>
                </c:pt>
              </c:numCache>
            </c:numRef>
          </c:xVal>
          <c:yVal>
            <c:numRef>
              <c:f>Tabelle3!$AD$16:$AD$17</c:f>
              <c:numCache>
                <c:formatCode>General</c:formatCode>
                <c:ptCount val="2"/>
                <c:pt idx="0">
                  <c:v>170</c:v>
                </c:pt>
                <c:pt idx="1">
                  <c:v>170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0-910F-4EAB-96FB-CC3F9B37F21A}"/>
            </c:ext>
          </c:extLst>
        </c:ser>
        <c:ser>
          <c:idx val="44"/>
          <c:order val="44"/>
          <c:tx>
            <c:strRef>
              <c:f>Tabelle3!$K$79</c:f>
              <c:strCache>
                <c:ptCount val="1"/>
                <c:pt idx="0">
                  <c:v>27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Tabelle3!$L$79:$L$80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Tabelle3!$M$79:$M$80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1-910F-4EAB-96FB-CC3F9B37F21A}"/>
            </c:ext>
          </c:extLst>
        </c:ser>
        <c:ser>
          <c:idx val="45"/>
          <c:order val="45"/>
          <c:tx>
            <c:strRef>
              <c:f>Tabelle3!$K$81</c:f>
              <c:strCache>
                <c:ptCount val="1"/>
                <c:pt idx="0">
                  <c:v>28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Tabelle3!$L$81:$L$82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Tabelle3!$M$81:$M$82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2-910F-4EAB-96FB-CC3F9B37F21A}"/>
            </c:ext>
          </c:extLst>
        </c:ser>
        <c:ser>
          <c:idx val="46"/>
          <c:order val="46"/>
          <c:tx>
            <c:strRef>
              <c:f>Tabelle3!$AI$4</c:f>
              <c:strCache>
                <c:ptCount val="1"/>
              </c:strCache>
            </c:strRef>
          </c:tx>
          <c:spPr>
            <a:ln w="19050" cap="rnd" cmpd="sng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3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4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Tabelle3!$AN$4:$AN$5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Tabelle3!$AO$4:$AO$5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5-910F-4EAB-96FB-CC3F9B37F21A}"/>
            </c:ext>
          </c:extLst>
        </c:ser>
        <c:ser>
          <c:idx val="47"/>
          <c:order val="47"/>
          <c:tx>
            <c:strRef>
              <c:f>Tabelle3!$AI$6</c:f>
              <c:strCache>
                <c:ptCount val="1"/>
              </c:strCache>
            </c:strRef>
          </c:tx>
          <c:spPr>
            <a:ln w="19050" cap="rnd">
              <a:solidFill>
                <a:schemeClr val="accent6">
                  <a:lumMod val="70000"/>
                </a:schemeClr>
              </a:solidFill>
              <a:prstDash val="lgDashDot"/>
              <a:round/>
            </a:ln>
            <a:effectLst/>
          </c:spPr>
          <c:marker>
            <c:symbol val="none"/>
          </c:marker>
          <c:dPt>
            <c:idx val="1"/>
            <c:bubble3D val="0"/>
            <c:spPr>
              <a:ln w="19050" cap="rnd">
                <a:solidFill>
                  <a:schemeClr val="accent5"/>
                </a:solidFill>
                <a:prstDash val="lgDashDot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910F-4EAB-96FB-CC3F9B37F21A}"/>
              </c:ext>
            </c:extLst>
          </c:dPt>
          <c:dLbls>
            <c:dLbl>
              <c:idx val="0"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8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7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Tabelle3!$AN$6:$AN$7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Tabelle3!$AO$6:$AO$7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9-910F-4EAB-96FB-CC3F9B37F21A}"/>
            </c:ext>
          </c:extLst>
        </c:ser>
        <c:ser>
          <c:idx val="48"/>
          <c:order val="48"/>
          <c:tx>
            <c:strRef>
              <c:f>Tabelle3!$AI$8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A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B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Tabelle3!$AN$8:$AN$9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Tabelle3!$AO$8:$AO$9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C-910F-4EAB-96FB-CC3F9B37F21A}"/>
            </c:ext>
          </c:extLst>
        </c:ser>
        <c:ser>
          <c:idx val="49"/>
          <c:order val="49"/>
          <c:tx>
            <c:strRef>
              <c:f>Tabelle3!$AI$10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D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E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Tabelle3!$AN$10:$AN$11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Tabelle3!$AO$10:$AO$11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F-910F-4EAB-96FB-CC3F9B37F21A}"/>
            </c:ext>
          </c:extLst>
        </c:ser>
        <c:ser>
          <c:idx val="50"/>
          <c:order val="50"/>
          <c:tx>
            <c:strRef>
              <c:f>Tabelle3!$AI$12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0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1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Tabelle3!$AN$12:$AN$13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Tabelle3!$AO$12:$AO$13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2-910F-4EAB-96FB-CC3F9B37F21A}"/>
            </c:ext>
          </c:extLst>
        </c:ser>
        <c:ser>
          <c:idx val="51"/>
          <c:order val="51"/>
          <c:tx>
            <c:strRef>
              <c:f>Tabelle3!$AI$14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3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4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Tabelle3!$AN$14:$AN$15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Tabelle3!$AO$14:$AO$15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5-910F-4EAB-96FB-CC3F9B37F21A}"/>
            </c:ext>
          </c:extLst>
        </c:ser>
        <c:ser>
          <c:idx val="52"/>
          <c:order val="52"/>
          <c:tx>
            <c:strRef>
              <c:f>Tabelle3!$AI$16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6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7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Tabelle3!$AN$16:$AN$17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Tabelle3!$AO$16:$AO$17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8-910F-4EAB-96FB-CC3F9B37F21A}"/>
            </c:ext>
          </c:extLst>
        </c:ser>
        <c:ser>
          <c:idx val="53"/>
          <c:order val="53"/>
          <c:tx>
            <c:strRef>
              <c:f>Tabelle3!$AI$18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9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A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Tabelle3!$AN$18:$AN$19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Tabelle3!$AO$18:$AO$19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B-910F-4EAB-96FB-CC3F9B37F21A}"/>
            </c:ext>
          </c:extLst>
        </c:ser>
        <c:ser>
          <c:idx val="54"/>
          <c:order val="54"/>
          <c:tx>
            <c:strRef>
              <c:f>Tabelle3!$AI$20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C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D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Tabelle3!$AN$20:$AN$21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Tabelle3!$AO$20:$AO$21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E-910F-4EAB-96FB-CC3F9B37F21A}"/>
            </c:ext>
          </c:extLst>
        </c:ser>
        <c:ser>
          <c:idx val="55"/>
          <c:order val="55"/>
          <c:tx>
            <c:strRef>
              <c:f>Tabelle3!$AI$22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F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0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Tabelle3!$AN$22:$AN$23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Tabelle3!$AO$22:$AO$23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1-910F-4EAB-96FB-CC3F9B37F21A}"/>
            </c:ext>
          </c:extLst>
        </c:ser>
        <c:ser>
          <c:idx val="56"/>
          <c:order val="56"/>
          <c:tx>
            <c:strRef>
              <c:f>Tabelle3!$AI$24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2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3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Tabelle3!$AN$24:$AN$25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Tabelle3!$AO$24:$AO$25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4-910F-4EAB-96FB-CC3F9B37F21A}"/>
            </c:ext>
          </c:extLst>
        </c:ser>
        <c:ser>
          <c:idx val="57"/>
          <c:order val="57"/>
          <c:tx>
            <c:strRef>
              <c:f>Tabelle3!$AI$26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5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6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Tabelle3!$AN$26:$AN$27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Tabelle3!$AO$26:$AO$27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7-910F-4EAB-96FB-CC3F9B37F21A}"/>
            </c:ext>
          </c:extLst>
        </c:ser>
        <c:ser>
          <c:idx val="58"/>
          <c:order val="58"/>
          <c:tx>
            <c:strRef>
              <c:f>Tabelle3!$AI$28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8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9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Tabelle3!$AN$28:$AN$29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Tabelle3!$AO$28:$AO$29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A-910F-4EAB-96FB-CC3F9B37F21A}"/>
            </c:ext>
          </c:extLst>
        </c:ser>
        <c:ser>
          <c:idx val="59"/>
          <c:order val="59"/>
          <c:tx>
            <c:strRef>
              <c:f>Tabelle3!$AI$30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B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C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Tabelle3!$AN$30:$AN$31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Tabelle3!$AO$30:$AO$31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D-910F-4EAB-96FB-CC3F9B37F21A}"/>
            </c:ext>
          </c:extLst>
        </c:ser>
        <c:ser>
          <c:idx val="60"/>
          <c:order val="60"/>
          <c:tx>
            <c:strRef>
              <c:f>Tabelle3!$AI$32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E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F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Tabelle3!$AN$32:$AN$33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Tabelle3!$AO$32:$AO$33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0-910F-4EAB-96FB-CC3F9B37F21A}"/>
            </c:ext>
          </c:extLst>
        </c:ser>
        <c:ser>
          <c:idx val="61"/>
          <c:order val="61"/>
          <c:tx>
            <c:strRef>
              <c:f>Tabelle3!$AI$34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1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2-910F-4EAB-96FB-CC3F9B37F21A}"/>
                </c:ext>
                <c:ext xmlns:c15="http://schemas.microsoft.com/office/drawing/2012/chart" uri="{CE6537A1-D6FC-4f65-9D91-7224C49458BB}"/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Tabelle3!$AN$34:$AN$35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Tabelle3!$AO$34:$AO$35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3-910F-4EAB-96FB-CC3F9B37F21A}"/>
            </c:ext>
          </c:extLst>
        </c:ser>
        <c:ser>
          <c:idx val="62"/>
          <c:order val="62"/>
          <c:tx>
            <c:strRef>
              <c:f>Tabelle3!$AI$36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4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5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Tabelle3!$AN$36:$AN$37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Tabelle3!$AO$36:$AO$37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6-910F-4EAB-96FB-CC3F9B37F21A}"/>
            </c:ext>
          </c:extLst>
        </c:ser>
        <c:ser>
          <c:idx val="63"/>
          <c:order val="63"/>
          <c:tx>
            <c:strRef>
              <c:f>Tabelle3!$AI$38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7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8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Tabelle3!$AN$38:$AN$39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Tabelle3!$AO$38:$AO$39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9-910F-4EAB-96FB-CC3F9B37F21A}"/>
            </c:ext>
          </c:extLst>
        </c:ser>
        <c:ser>
          <c:idx val="64"/>
          <c:order val="64"/>
          <c:tx>
            <c:strRef>
              <c:f>Tabelle3!$AI$40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A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B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Tabelle3!$AN$40:$AN$41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Tabelle3!$AO$40:$AO$41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C-910F-4EAB-96FB-CC3F9B37F21A}"/>
            </c:ext>
          </c:extLst>
        </c:ser>
        <c:ser>
          <c:idx val="65"/>
          <c:order val="65"/>
          <c:tx>
            <c:strRef>
              <c:f>Tabelle3!$AI$42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D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E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Tabelle3!$AN$42:$AN$43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Tabelle3!$AO$42:$AO$43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F-910F-4EAB-96FB-CC3F9B37F21A}"/>
            </c:ext>
          </c:extLst>
        </c:ser>
        <c:ser>
          <c:idx val="66"/>
          <c:order val="66"/>
          <c:tx>
            <c:strRef>
              <c:f>Tabelle3!$AI$44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0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1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Tabelle3!$AN$44:$AN$45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Tabelle3!$AO$44:$AO$45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2-910F-4EAB-96FB-CC3F9B37F21A}"/>
            </c:ext>
          </c:extLst>
        </c:ser>
        <c:ser>
          <c:idx val="67"/>
          <c:order val="67"/>
          <c:tx>
            <c:strRef>
              <c:f>Tabelle3!$AI$46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3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4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Tabelle3!$AN$46:$AN$47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Tabelle3!$AO$46:$AO$47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5-910F-4EAB-96FB-CC3F9B37F21A}"/>
            </c:ext>
          </c:extLst>
        </c:ser>
        <c:ser>
          <c:idx val="68"/>
          <c:order val="68"/>
          <c:tx>
            <c:strRef>
              <c:f>Tabelle3!$AI$48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Tabelle3!$AN$48:$AN$49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Tabelle3!$AO$48:$AO$49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6-910F-4EAB-96FB-CC3F9B37F21A}"/>
            </c:ext>
          </c:extLst>
        </c:ser>
        <c:ser>
          <c:idx val="69"/>
          <c:order val="69"/>
          <c:tx>
            <c:strRef>
              <c:f>Tabelle3!$AI$50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Tabelle3!$AN$50:$AN$51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Tabelle3!$AO$50:$AO$51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7-910F-4EAB-96FB-CC3F9B37F21A}"/>
            </c:ext>
          </c:extLst>
        </c:ser>
        <c:ser>
          <c:idx val="70"/>
          <c:order val="70"/>
          <c:tx>
            <c:strRef>
              <c:f>Tabelle3!$AJ$52</c:f>
              <c:strCache>
                <c:ptCount val="1"/>
                <c:pt idx="0">
                  <c:v>Segment 25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Tabelle3!$AN$52:$AN$53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Tabelle3!$AO$52:$AO$53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8-910F-4EAB-96FB-CC3F9B37F21A}"/>
            </c:ext>
          </c:extLst>
        </c:ser>
        <c:ser>
          <c:idx val="71"/>
          <c:order val="71"/>
          <c:tx>
            <c:strRef>
              <c:f>Tabelle3!$AJ$54</c:f>
              <c:strCache>
                <c:ptCount val="1"/>
                <c:pt idx="0">
                  <c:v>Segment 26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Tabelle3!$AN$54:$AN$55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Tabelle3!$AO$54:$AO$55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9-910F-4EAB-96FB-CC3F9B37F21A}"/>
            </c:ext>
          </c:extLst>
        </c:ser>
        <c:ser>
          <c:idx val="72"/>
          <c:order val="72"/>
          <c:tx>
            <c:strRef>
              <c:f>Tabelle3!$AJ$56</c:f>
              <c:strCache>
                <c:ptCount val="1"/>
                <c:pt idx="0">
                  <c:v>Segment 27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Tabelle3!$AN$56:$AN$57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Tabelle3!$AO$56:$AO$57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A-910F-4EAB-96FB-CC3F9B37F21A}"/>
            </c:ext>
          </c:extLst>
        </c:ser>
        <c:ser>
          <c:idx val="73"/>
          <c:order val="73"/>
          <c:tx>
            <c:strRef>
              <c:f>Tabelle3!$AJ$58</c:f>
              <c:strCache>
                <c:ptCount val="1"/>
                <c:pt idx="0">
                  <c:v>Segment 28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Tabelle3!$AN$58:$AN$59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Tabelle3!$AO$58:$AO$59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B-910F-4EAB-96FB-CC3F9B37F21A}"/>
            </c:ext>
          </c:extLst>
        </c:ser>
        <c:ser>
          <c:idx val="74"/>
          <c:order val="74"/>
          <c:tx>
            <c:strRef>
              <c:f>Tabelle3!$AJ$60</c:f>
              <c:strCache>
                <c:ptCount val="1"/>
                <c:pt idx="0">
                  <c:v>Segment 29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Tabelle3!$AN$60:$AN$61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Tabelle3!$AO$60:$AO$61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C-910F-4EAB-96FB-CC3F9B37F21A}"/>
            </c:ext>
          </c:extLst>
        </c:ser>
        <c:ser>
          <c:idx val="75"/>
          <c:order val="75"/>
          <c:tx>
            <c:strRef>
              <c:f>Tabelle3!$AJ$62</c:f>
              <c:strCache>
                <c:ptCount val="1"/>
                <c:pt idx="0">
                  <c:v>Segment 30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Tabelle3!$AN$62:$AN$63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Tabelle3!$AO$62:$AO$63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D-910F-4EAB-96FB-CC3F9B37F21A}"/>
            </c:ext>
          </c:extLst>
        </c:ser>
        <c:ser>
          <c:idx val="76"/>
          <c:order val="76"/>
          <c:tx>
            <c:strRef>
              <c:f>Tabelle3!$AJ$64</c:f>
              <c:strCache>
                <c:ptCount val="1"/>
                <c:pt idx="0">
                  <c:v>Segment 31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Tabelle3!$AN$64:$AN$65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Tabelle3!$AO$64:$AO$65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E-910F-4EAB-96FB-CC3F9B37F21A}"/>
            </c:ext>
          </c:extLst>
        </c:ser>
        <c:ser>
          <c:idx val="77"/>
          <c:order val="77"/>
          <c:tx>
            <c:strRef>
              <c:f>Tabelle3!$AJ$66</c:f>
              <c:strCache>
                <c:ptCount val="1"/>
                <c:pt idx="0">
                  <c:v>Segment 32</c:v>
                </c:pt>
              </c:strCache>
            </c:strRef>
          </c:tx>
          <c:spPr>
            <a:ln w="19050" cap="rnd" cmpd="dbl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Tabelle3!$AN$66:$AN$67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Tabelle3!$AO$66:$AO$67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F-910F-4EAB-96FB-CC3F9B37F21A}"/>
            </c:ext>
          </c:extLst>
        </c:ser>
        <c:ser>
          <c:idx val="78"/>
          <c:order val="78"/>
          <c:tx>
            <c:strRef>
              <c:f>Tabelle3!$BC$31</c:f>
              <c:strCache>
                <c:ptCount val="1"/>
                <c:pt idx="0">
                  <c:v>Pumpe 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Tabelle3!$BD$31:$BD$32</c:f>
              <c:numCache>
                <c:formatCode>General</c:formatCode>
                <c:ptCount val="2"/>
                <c:pt idx="0">
                  <c:v>-218</c:v>
                </c:pt>
                <c:pt idx="1">
                  <c:v>-78</c:v>
                </c:pt>
              </c:numCache>
            </c:numRef>
          </c:xVal>
          <c:yVal>
            <c:numRef>
              <c:f>Tabelle3!$BE$31:$BE$32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0-910F-4EAB-96FB-CC3F9B37F21A}"/>
            </c:ext>
          </c:extLst>
        </c:ser>
        <c:ser>
          <c:idx val="79"/>
          <c:order val="79"/>
          <c:tx>
            <c:strRef>
              <c:f>Tabelle3!$BC$33</c:f>
              <c:strCache>
                <c:ptCount val="1"/>
                <c:pt idx="0">
                  <c:v>Pumpe 1a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Tabelle3!$BD$33:$BD$34</c:f>
              <c:numCache>
                <c:formatCode>General</c:formatCode>
                <c:ptCount val="2"/>
                <c:pt idx="0">
                  <c:v>-218</c:v>
                </c:pt>
                <c:pt idx="1">
                  <c:v>-238</c:v>
                </c:pt>
              </c:numCache>
            </c:numRef>
          </c:xVal>
          <c:yVal>
            <c:numRef>
              <c:f>Tabelle3!$BE$33:$BE$34</c:f>
              <c:numCache>
                <c:formatCode>General</c:formatCode>
                <c:ptCount val="2"/>
                <c:pt idx="0">
                  <c:v>0</c:v>
                </c:pt>
                <c:pt idx="1">
                  <c:v>-50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1-910F-4EAB-96FB-CC3F9B37F21A}"/>
            </c:ext>
          </c:extLst>
        </c:ser>
        <c:ser>
          <c:idx val="80"/>
          <c:order val="80"/>
          <c:tx>
            <c:strRef>
              <c:f>Tabelle3!$BC$35</c:f>
              <c:strCache>
                <c:ptCount val="1"/>
                <c:pt idx="0">
                  <c:v>Pumpe 1b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Tabelle3!$BD$35:$BD$36</c:f>
              <c:numCache>
                <c:formatCode>General</c:formatCode>
                <c:ptCount val="2"/>
                <c:pt idx="0">
                  <c:v>-78</c:v>
                </c:pt>
                <c:pt idx="1">
                  <c:v>-58</c:v>
                </c:pt>
              </c:numCache>
            </c:numRef>
          </c:xVal>
          <c:yVal>
            <c:numRef>
              <c:f>Tabelle3!$BE$35:$BE$36</c:f>
              <c:numCache>
                <c:formatCode>General</c:formatCode>
                <c:ptCount val="2"/>
                <c:pt idx="0">
                  <c:v>0</c:v>
                </c:pt>
                <c:pt idx="1">
                  <c:v>-50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2-910F-4EAB-96FB-CC3F9B37F21A}"/>
            </c:ext>
          </c:extLst>
        </c:ser>
        <c:ser>
          <c:idx val="81"/>
          <c:order val="81"/>
          <c:tx>
            <c:strRef>
              <c:f>Tabelle3!$BC$39</c:f>
              <c:strCache>
                <c:ptCount val="1"/>
                <c:pt idx="0">
                  <c:v>Pumpe 2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Tabelle3!$BD$39:$BD$40</c:f>
            </c:numRef>
          </c:xVal>
          <c:yVal>
            <c:numRef>
              <c:f>Tabelle3!$BE$39:$BE$40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3-910F-4EAB-96FB-CC3F9B37F21A}"/>
            </c:ext>
          </c:extLst>
        </c:ser>
        <c:ser>
          <c:idx val="82"/>
          <c:order val="82"/>
          <c:tx>
            <c:strRef>
              <c:f>Tabelle3!$BC$41</c:f>
              <c:strCache>
                <c:ptCount val="1"/>
                <c:pt idx="0">
                  <c:v>Pumpe 2a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Tabelle3!$BD$41:$BD$42</c:f>
            </c:numRef>
          </c:xVal>
          <c:yVal>
            <c:numRef>
              <c:f>Tabelle3!$BE$41:$BE$42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4-910F-4EAB-96FB-CC3F9B37F21A}"/>
            </c:ext>
          </c:extLst>
        </c:ser>
        <c:ser>
          <c:idx val="83"/>
          <c:order val="83"/>
          <c:tx>
            <c:strRef>
              <c:f>Tabelle3!$BC$43</c:f>
              <c:strCache>
                <c:ptCount val="1"/>
                <c:pt idx="0">
                  <c:v>Pumpe 2b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Tabelle3!$BD$43:$BD$44</c:f>
            </c:numRef>
          </c:xVal>
          <c:yVal>
            <c:numRef>
              <c:f>Tabelle3!$BE$43:$BE$44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5-910F-4EAB-96FB-CC3F9B37F21A}"/>
            </c:ext>
          </c:extLst>
        </c:ser>
        <c:ser>
          <c:idx val="84"/>
          <c:order val="84"/>
          <c:tx>
            <c:strRef>
              <c:f>Tabelle3!$BG$6</c:f>
              <c:strCache>
                <c:ptCount val="1"/>
                <c:pt idx="0">
                  <c:v>ID=1000 mm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  <a:headEnd type="triangle" w="med" len="lg"/>
              <a:tailEnd type="triangle" w="med" len="lg"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6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8043161414836681"/>
                  <c:y val="-1.738595205405384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7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Tabelle3!$BG$4:$BG$5</c:f>
              <c:numCache>
                <c:formatCode>General</c:formatCode>
                <c:ptCount val="2"/>
                <c:pt idx="0">
                  <c:v>-500</c:v>
                </c:pt>
                <c:pt idx="1">
                  <c:v>500</c:v>
                </c:pt>
              </c:numCache>
            </c:numRef>
          </c:xVal>
          <c:yVal>
            <c:numRef>
              <c:f>Tabelle3!$BH$4:$BH$5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8-910F-4EAB-96FB-CC3F9B37F21A}"/>
            </c:ext>
          </c:extLst>
        </c:ser>
        <c:ser>
          <c:idx val="85"/>
          <c:order val="85"/>
          <c:tx>
            <c:strRef>
              <c:f>Tabelle3!$BJ$4</c:f>
              <c:strCache>
                <c:ptCount val="1"/>
                <c:pt idx="0">
                  <c:v>Pozzo BS 0 M.ü.M</c:v>
                </c:pt>
              </c:strCache>
            </c:strRef>
          </c:tx>
          <c:spPr>
            <a:ln w="60325" cap="rnd">
              <a:solidFill>
                <a:schemeClr val="tx1"/>
              </a:solidFill>
              <a:round/>
              <a:headEnd type="triangle"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9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1846136944752016E-2"/>
                  <c:y val="-3.445693271883092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A-910F-4EAB-96FB-CC3F9B37F21A}"/>
                </c:ext>
                <c:ext xmlns:c15="http://schemas.microsoft.com/office/drawing/2012/chart" uri="{CE6537A1-D6FC-4f65-9D91-7224C49458BB}">
                  <c15:layout>
                    <c:manualLayout>
                      <c:w val="0.12025387642281661"/>
                      <c:h val="4.2930205719234206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Tabelle3!$BK$4:$BK$5</c:f>
              <c:numCache>
                <c:formatCode>General</c:formatCode>
                <c:ptCount val="2"/>
                <c:pt idx="0">
                  <c:v>925</c:v>
                </c:pt>
                <c:pt idx="1">
                  <c:v>925</c:v>
                </c:pt>
              </c:numCache>
            </c:numRef>
          </c:xVal>
          <c:yVal>
            <c:numRef>
              <c:f>Tabelle3!$BL$4:$BL$5</c:f>
              <c:numCache>
                <c:formatCode>General</c:formatCode>
                <c:ptCount val="2"/>
                <c:pt idx="0" formatCode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B-910F-4EAB-96FB-CC3F9B37F21A}"/>
            </c:ext>
          </c:extLst>
        </c:ser>
        <c:ser>
          <c:idx val="86"/>
          <c:order val="86"/>
          <c:tx>
            <c:strRef>
              <c:f>Tabelle3!$BJ$7</c:f>
              <c:strCache>
                <c:ptCount val="1"/>
                <c:pt idx="0">
                  <c:v>#WERT!</c:v>
                </c:pt>
              </c:strCache>
            </c:strRef>
          </c:tx>
          <c:spPr>
            <a:ln w="60325" cap="rnd">
              <a:solidFill>
                <a:schemeClr val="tx1"/>
              </a:solidFill>
              <a:round/>
              <a:headEnd type="triangle"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0425680654980569E-2"/>
                  <c:y val="-4.228805379129236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BF-910F-4EAB-96FB-CC3F9B37F21A}"/>
                </c:ext>
                <c:ext xmlns:c15="http://schemas.microsoft.com/office/drawing/2012/chart" uri="{CE6537A1-D6FC-4f65-9D91-7224C49458BB}">
                  <c15:layout>
                    <c:manualLayout>
                      <c:w val="0.14726641481671771"/>
                      <c:h val="3.910861863587297E-2"/>
                    </c:manualLayout>
                  </c15:layout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C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Tabelle3!$BK$7:$BK$8</c:f>
              <c:numCache>
                <c:formatCode>General</c:formatCode>
                <c:ptCount val="2"/>
                <c:pt idx="0">
                  <c:v>925</c:v>
                </c:pt>
                <c:pt idx="1">
                  <c:v>925</c:v>
                </c:pt>
              </c:numCache>
            </c:numRef>
          </c:xVal>
          <c:yVal>
            <c:numRef>
              <c:f>Tabelle3!$BL$7:$BL$8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D-910F-4EAB-96FB-CC3F9B37F21A}"/>
            </c:ext>
          </c:extLst>
        </c:ser>
        <c:ser>
          <c:idx val="87"/>
          <c:order val="87"/>
          <c:tx>
            <c:strRef>
              <c:f>Tabelle3!$BJ$10</c:f>
              <c:strCache>
                <c:ptCount val="1"/>
                <c:pt idx="0">
                  <c:v>#WERT!</c:v>
                </c:pt>
              </c:strCache>
            </c:strRef>
          </c:tx>
          <c:spPr>
            <a:ln w="57150" cap="rnd">
              <a:solidFill>
                <a:schemeClr val="tx1"/>
              </a:solidFill>
              <a:round/>
              <a:headEnd type="triangle"/>
              <a:tailEnd type="none"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E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5646668866602265E-2"/>
                  <c:y val="-3.774686684245386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F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Tabelle3!$BK$10:$BK$11</c:f>
              <c:numCache>
                <c:formatCode>General</c:formatCode>
                <c:ptCount val="2"/>
                <c:pt idx="0">
                  <c:v>925</c:v>
                </c:pt>
                <c:pt idx="1">
                  <c:v>925</c:v>
                </c:pt>
              </c:numCache>
            </c:numRef>
          </c:xVal>
          <c:yVal>
            <c:numRef>
              <c:f>Tabelle3!$BL$10:$BL$11</c:f>
              <c:numCache>
                <c:formatCode>General</c:formatCode>
                <c:ptCount val="2"/>
                <c:pt idx="0">
                  <c:v>0</c:v>
                </c:pt>
                <c:pt idx="1">
                  <c:v>50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A0-910F-4EAB-96FB-CC3F9B37F21A}"/>
            </c:ext>
          </c:extLst>
        </c:ser>
        <c:ser>
          <c:idx val="88"/>
          <c:order val="88"/>
          <c:tx>
            <c:strRef>
              <c:f>Tabelle3!$BJ$13</c:f>
              <c:strCache>
                <c:ptCount val="1"/>
                <c:pt idx="0">
                  <c:v>Grundlinie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Tabelle3!$BK$13:$BK$14</c:f>
              <c:numCache>
                <c:formatCode>General</c:formatCode>
                <c:ptCount val="2"/>
                <c:pt idx="0">
                  <c:v>-1500</c:v>
                </c:pt>
                <c:pt idx="1">
                  <c:v>1500</c:v>
                </c:pt>
              </c:numCache>
            </c:numRef>
          </c:xVal>
          <c:yVal>
            <c:numRef>
              <c:f>Tabelle3!$BL$13:$BL$14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A1-910F-4EAB-96FB-CC3F9B37F21A}"/>
            </c:ext>
          </c:extLst>
        </c:ser>
        <c:ser>
          <c:idx val="89"/>
          <c:order val="89"/>
          <c:tx>
            <c:strRef>
              <c:f>Tabelle3!$BC$69</c:f>
              <c:strCache>
                <c:ptCount val="1"/>
                <c:pt idx="0">
                  <c:v>#WERT!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2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Tabelle3!$BD$69:$BD$70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Tabelle3!$BE$69:$BE$70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A3-910F-4EAB-96FB-CC3F9B37F21A}"/>
            </c:ext>
          </c:extLst>
        </c:ser>
        <c:ser>
          <c:idx val="90"/>
          <c:order val="90"/>
          <c:tx>
            <c:strRef>
              <c:f>Tabelle3!$BD$74</c:f>
              <c:strCache>
                <c:ptCount val="1"/>
              </c:strCache>
            </c:strRef>
          </c:tx>
          <c:spPr>
            <a:ln w="57150" cmpd="sng">
              <a:solidFill>
                <a:srgbClr val="800000"/>
              </a:solidFill>
              <a:headEnd type="triangle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4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065904694251964E-2"/>
                  <c:y val="1.472305868645971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5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solidFill>
                  <a:schemeClr val="bg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Ref>
              <c:f>Tabelle3!$BD$76:$BD$77</c:f>
            </c:numRef>
          </c:xVal>
          <c:yVal>
            <c:numRef>
              <c:f>Tabelle3!$BE$76:$BE$77</c:f>
              <c:numCache>
                <c:formatCode>General</c:formatCode>
                <c:ptCount val="2"/>
                <c:pt idx="0">
                  <c:v>-1000</c:v>
                </c:pt>
                <c:pt idx="1">
                  <c:v>-1000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A7-910F-4EAB-96FB-CC3F9B37F21A}"/>
            </c:ext>
          </c:extLst>
        </c:ser>
        <c:ser>
          <c:idx val="91"/>
          <c:order val="91"/>
          <c:tx>
            <c:strRef>
              <c:f>Tabelle3!$BJ$17</c:f>
              <c:strCache>
                <c:ptCount val="1"/>
                <c:pt idx="0">
                  <c:v>PDL                     S=  M.ü.M.</c:v>
                </c:pt>
              </c:strCache>
            </c:strRef>
          </c:tx>
          <c:spPr>
            <a:ln w="38100">
              <a:solidFill>
                <a:schemeClr val="tx1"/>
              </a:solidFill>
              <a:headEnd type="triangle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4421062879727683E-2"/>
                  <c:y val="-9.398585787244664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>
                      <a:latin typeface="Arial Narrow" panose="020B0606020202030204" pitchFamily="34" charset="0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8-910F-4EAB-96FB-CC3F9B37F21A}"/>
                </c:ext>
                <c:ext xmlns:c15="http://schemas.microsoft.com/office/drawing/2012/chart" uri="{CE6537A1-D6FC-4f65-9D91-7224C49458BB}">
                  <c15:layout>
                    <c:manualLayout>
                      <c:w val="0.11366095302917227"/>
                      <c:h val="4.6881900404665465E-2"/>
                    </c:manualLayout>
                  </c15:layout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9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Tabelle3!$BK$17:$BK$18</c:f>
              <c:numCache>
                <c:formatCode>General</c:formatCode>
                <c:ptCount val="2"/>
                <c:pt idx="0">
                  <c:v>728</c:v>
                </c:pt>
                <c:pt idx="1">
                  <c:v>728</c:v>
                </c:pt>
              </c:numCache>
            </c:numRef>
          </c:xVal>
          <c:yVal>
            <c:numRef>
              <c:f>Tabelle3!$BL$17:$BL$18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AA-910F-4EAB-96FB-CC3F9B37F21A}"/>
            </c:ext>
          </c:extLst>
        </c:ser>
        <c:ser>
          <c:idx val="92"/>
          <c:order val="92"/>
          <c:tx>
            <c:strRef>
              <c:f>Tabelle3!$Z$23</c:f>
              <c:strCache>
                <c:ptCount val="1"/>
                <c:pt idx="0">
                  <c:v>#WERT!</c:v>
                </c:pt>
              </c:strCache>
            </c:strRef>
          </c:tx>
          <c:spPr>
            <a:ln w="34925">
              <a:solidFill>
                <a:srgbClr val="D6A300"/>
              </a:solidFill>
              <a:prstDash val="solid"/>
              <a:tailEnd type="oval"/>
            </a:ln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rgbClr val="D6A300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B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C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Tabelle3!$AC$23:$AC$24</c:f>
              <c:numCache>
                <c:formatCode>General</c:formatCode>
                <c:ptCount val="2"/>
                <c:pt idx="0">
                  <c:v>-288</c:v>
                </c:pt>
                <c:pt idx="1">
                  <c:v>-248</c:v>
                </c:pt>
              </c:numCache>
            </c:numRef>
          </c:xVal>
          <c:yVal>
            <c:numRef>
              <c:f>Tabelle3!$AD$23:$AD$24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AD-910F-4EAB-96FB-CC3F9B37F21A}"/>
            </c:ext>
          </c:extLst>
        </c:ser>
        <c:ser>
          <c:idx val="93"/>
          <c:order val="93"/>
          <c:tx>
            <c:strRef>
              <c:f>Tabelle3!$Z$26</c:f>
              <c:strCache>
                <c:ptCount val="1"/>
              </c:strCache>
            </c:strRef>
          </c:tx>
          <c:spPr>
            <a:ln w="34925">
              <a:solidFill>
                <a:srgbClr val="D6A300"/>
              </a:solidFill>
              <a:prstDash val="sysDash"/>
              <a:headEnd type="none"/>
              <a:tailEnd type="oval"/>
            </a:ln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rgbClr val="D6A300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F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D6A300"/>
                    </a:solidFill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Tabelle3!$AC$26:$AC$27</c:f>
            </c:numRef>
          </c:xVal>
          <c:yVal>
            <c:numRef>
              <c:f>Tabelle3!$AD$26:$AD$27</c:f>
              <c:numCache>
                <c:formatCode>General</c:formatCode>
                <c:ptCount val="2"/>
                <c:pt idx="0">
                  <c:v>-1000</c:v>
                </c:pt>
                <c:pt idx="1">
                  <c:v>-1000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B0-910F-4EAB-96FB-CC3F9B37F21A}"/>
            </c:ext>
          </c:extLst>
        </c:ser>
        <c:ser>
          <c:idx val="94"/>
          <c:order val="94"/>
          <c:tx>
            <c:strRef>
              <c:f>Tabelle3!$Z$29</c:f>
              <c:strCache>
                <c:ptCount val="1"/>
                <c:pt idx="0">
                  <c:v>birne auf VN</c:v>
                </c:pt>
              </c:strCache>
            </c:strRef>
          </c:tx>
          <c:spPr>
            <a:ln w="34925">
              <a:solidFill>
                <a:srgbClr val="D6A300"/>
              </a:solidFill>
              <a:tailEnd type="oval"/>
            </a:ln>
          </c:spPr>
          <c:marker>
            <c:symbol val="none"/>
          </c:marker>
          <c:xVal>
            <c:numRef>
              <c:f>Tabelle3!$AC$29:$AC$30</c:f>
              <c:numCache>
                <c:formatCode>General</c:formatCode>
                <c:ptCount val="2"/>
                <c:pt idx="0">
                  <c:v>-288</c:v>
                </c:pt>
                <c:pt idx="1">
                  <c:v>-248</c:v>
                </c:pt>
              </c:numCache>
            </c:numRef>
          </c:xVal>
          <c:yVal>
            <c:numRef>
              <c:f>Tabelle3!$AD$29:$AD$30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B1-910F-4EAB-96FB-CC3F9B37F21A}"/>
            </c:ext>
          </c:extLst>
        </c:ser>
        <c:ser>
          <c:idx val="95"/>
          <c:order val="95"/>
          <c:tx>
            <c:strRef>
              <c:f>Tabelle3!$Z$31</c:f>
              <c:strCache>
                <c:ptCount val="1"/>
                <c:pt idx="0">
                  <c:v>Birne auf SU</c:v>
                </c:pt>
              </c:strCache>
            </c:strRef>
          </c:tx>
          <c:spPr>
            <a:ln w="34925">
              <a:solidFill>
                <a:srgbClr val="D6A300"/>
              </a:solidFill>
              <a:tailEnd type="oval"/>
            </a:ln>
          </c:spPr>
          <c:marker>
            <c:symbol val="none"/>
          </c:marker>
          <c:xVal>
            <c:numRef>
              <c:f>Tabelle3!$AC$31:$AC$32</c:f>
              <c:numCache>
                <c:formatCode>General</c:formatCode>
                <c:ptCount val="2"/>
                <c:pt idx="0">
                  <c:v>-188</c:v>
                </c:pt>
                <c:pt idx="1">
                  <c:v>-148</c:v>
                </c:pt>
              </c:numCache>
            </c:numRef>
          </c:xVal>
          <c:yVal>
            <c:numRef>
              <c:f>Tabelle3!$AD$31:$AD$32</c:f>
              <c:numCache>
                <c:formatCode>General</c:formatCode>
                <c:ptCount val="2"/>
                <c:pt idx="0">
                  <c:v>280</c:v>
                </c:pt>
                <c:pt idx="1">
                  <c:v>170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B2-910F-4EAB-96FB-CC3F9B37F21A}"/>
            </c:ext>
          </c:extLst>
        </c:ser>
        <c:ser>
          <c:idx val="96"/>
          <c:order val="96"/>
          <c:tx>
            <c:strRef>
              <c:f>Tabelle3!$BG$39</c:f>
              <c:strCache>
                <c:ptCount val="1"/>
                <c:pt idx="0">
                  <c:v>#WERT!</c:v>
                </c:pt>
              </c:strCache>
            </c:strRef>
          </c:tx>
          <c:spPr>
            <a:ln w="15875">
              <a:solidFill>
                <a:srgbClr val="00B05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B3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446111208405555E-2"/>
                  <c:y val="-3.680764671614928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B4-910F-4EAB-96FB-CC3F9B37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Tabelle3!$BG$45:$BG$46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Tabelle3!$BH$45:$BH$46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B5-910F-4EAB-96FB-CC3F9B37F21A}"/>
            </c:ext>
          </c:extLst>
        </c:ser>
        <c:ser>
          <c:idx val="99"/>
          <c:order val="97"/>
          <c:tx>
            <c:strRef>
              <c:f>Linkauswahl!$L$40</c:f>
              <c:strCache>
                <c:ptCount val="1"/>
              </c:strCache>
            </c:strRef>
          </c:tx>
          <c:spPr>
            <a:ln w="25400">
              <a:solidFill>
                <a:srgbClr val="FF0000"/>
              </a:solidFill>
              <a:prstDash val="sysDot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B6-910F-4EAB-96FB-CC3F9B37F21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251147674648952"/>
                  <c:y val="2.30047791975933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B7-910F-4EAB-96FB-CC3F9B37F21A}"/>
                </c:ext>
                <c:ext xmlns:c15="http://schemas.microsoft.com/office/drawing/2012/chart" uri="{CE6537A1-D6FC-4f65-9D91-7224C49458BB}">
                  <c15:layout>
                    <c:manualLayout>
                      <c:w val="0.35060324095473511"/>
                      <c:h val="3.7562203473830345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xVal>
            <c:numRef>
              <c:f>Linkauswahl!$L$42:$L$43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Linkauswahl!$M$42:$M$43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B8-910F-4EAB-96FB-CC3F9B37F21A}"/>
            </c:ext>
          </c:extLst>
        </c:ser>
        <c:ser>
          <c:idx val="97"/>
          <c:order val="98"/>
          <c:tx>
            <c:strRef>
              <c:f>Tabelle3!$K$83</c:f>
              <c:strCache>
                <c:ptCount val="1"/>
                <c:pt idx="0">
                  <c:v>29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Tabelle3!$L$83:$L$84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xVal>
          <c:yVal>
            <c:numRef>
              <c:f>Tabelle3!$M$83:$M$84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B9-910F-4EAB-96FB-CC3F9B37F21A}"/>
            </c:ext>
          </c:extLst>
        </c:ser>
        <c:ser>
          <c:idx val="98"/>
          <c:order val="99"/>
          <c:tx>
            <c:strRef>
              <c:f>Tabelle3!$K$85</c:f>
              <c:strCache>
                <c:ptCount val="1"/>
                <c:pt idx="0">
                  <c:v>30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Tabelle3!$L$85:$L$86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xVal>
          <c:yVal>
            <c:numRef>
              <c:f>Tabelle3!$M$85:$M$86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BA-910F-4EAB-96FB-CC3F9B37F21A}"/>
            </c:ext>
          </c:extLst>
        </c:ser>
        <c:ser>
          <c:idx val="100"/>
          <c:order val="100"/>
          <c:tx>
            <c:strRef>
              <c:f>Tabelle3!$K$87</c:f>
              <c:strCache>
                <c:ptCount val="1"/>
                <c:pt idx="0">
                  <c:v>31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Tabelle3!$L$87:$L$88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xVal>
          <c:yVal>
            <c:numRef>
              <c:f>Tabelle3!$M$87:$M$88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BB-910F-4EAB-96FB-CC3F9B37F21A}"/>
            </c:ext>
          </c:extLst>
        </c:ser>
        <c:ser>
          <c:idx val="101"/>
          <c:order val="101"/>
          <c:tx>
            <c:strRef>
              <c:f>Tabelle3!$K$89</c:f>
              <c:strCache>
                <c:ptCount val="1"/>
                <c:pt idx="0">
                  <c:v>32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Tabelle3!$L$89:$L$90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xVal>
          <c:yVal>
            <c:numRef>
              <c:f>Tabelle3!$M$89:$M$90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BC-910F-4EAB-96FB-CC3F9B37F21A}"/>
            </c:ext>
          </c:extLst>
        </c:ser>
        <c:ser>
          <c:idx val="102"/>
          <c:order val="102"/>
          <c:tx>
            <c:strRef>
              <c:f>Tabelle3!$I$92</c:f>
              <c:strCache>
                <c:ptCount val="1"/>
                <c:pt idx="0">
                  <c:v>333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Tabelle3!$L$91:$L$92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xVal>
          <c:yVal>
            <c:numRef>
              <c:f>Tabelle3!$M$91:$M$92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BD-910F-4EAB-96FB-CC3F9B37F21A}"/>
            </c:ext>
          </c:extLst>
        </c:ser>
        <c:ser>
          <c:idx val="103"/>
          <c:order val="103"/>
          <c:tx>
            <c:strRef>
              <c:f>Tabelle3!$K$93</c:f>
              <c:strCache>
                <c:ptCount val="1"/>
                <c:pt idx="0">
                  <c:v>34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Tabelle3!$L$93:$L$94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xVal>
          <c:yVal>
            <c:numRef>
              <c:f>Tabelle3!$M$93:$M$94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BE-910F-4EAB-96FB-CC3F9B37F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9446384"/>
        <c:axId val="439449128"/>
      </c:scatterChart>
      <c:valAx>
        <c:axId val="439446384"/>
        <c:scaling>
          <c:orientation val="minMax"/>
          <c:max val="2000"/>
          <c:min val="-175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439449128"/>
        <c:crosses val="autoZero"/>
        <c:crossBetween val="midCat"/>
        <c:majorUnit val="250"/>
        <c:minorUnit val="250"/>
      </c:valAx>
      <c:valAx>
        <c:axId val="439449128"/>
        <c:scaling>
          <c:orientation val="minMax"/>
          <c:max val="67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  <a:alpha val="31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9446384"/>
        <c:crossesAt val="0"/>
        <c:crossBetween val="midCat"/>
        <c:majorUnit val="2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>
      <c:oddHeader>&amp;RMehr als Pumpen</c:oddHeader>
      <c:oddFooter>&amp;LSchachtselector V.1.0</c:oddFooter>
    </c:headerFooter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06221030881778E-2"/>
          <c:y val="3.0051004818427551E-2"/>
          <c:w val="0.90972922134733158"/>
          <c:h val="0.9349593495934959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Aufsicht!$J$6</c:f>
              <c:strCache>
                <c:ptCount val="1"/>
                <c:pt idx="0">
                  <c:v>Schacht innen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Aufsicht!$K$10:$K$370</c:f>
              <c:numCache>
                <c:formatCode>General</c:formatCode>
                <c:ptCount val="361"/>
                <c:pt idx="0">
                  <c:v>0</c:v>
                </c:pt>
                <c:pt idx="1">
                  <c:v>8.7262032186417553</c:v>
                </c:pt>
                <c:pt idx="2">
                  <c:v>17.449748351250484</c:v>
                </c:pt>
                <c:pt idx="3">
                  <c:v>26.167978121471915</c:v>
                </c:pt>
                <c:pt idx="4">
                  <c:v>34.878236872062651</c:v>
                </c:pt>
                <c:pt idx="5">
                  <c:v>43.577871373829083</c:v>
                </c:pt>
                <c:pt idx="6">
                  <c:v>52.264231633826725</c:v>
                </c:pt>
                <c:pt idx="7">
                  <c:v>60.934671702573738</c:v>
                </c:pt>
                <c:pt idx="8">
                  <c:v>69.586550480032713</c:v>
                </c:pt>
                <c:pt idx="9">
                  <c:v>78.217232520115431</c:v>
                </c:pt>
                <c:pt idx="10">
                  <c:v>86.824088833465169</c:v>
                </c:pt>
                <c:pt idx="11">
                  <c:v>95.4044976882724</c:v>
                </c:pt>
                <c:pt idx="12">
                  <c:v>103.95584540887965</c:v>
                </c:pt>
                <c:pt idx="13">
                  <c:v>112.4755271719325</c:v>
                </c:pt>
                <c:pt idx="14">
                  <c:v>120.96094779983386</c:v>
                </c:pt>
                <c:pt idx="15">
                  <c:v>129.40952255126038</c:v>
                </c:pt>
                <c:pt idx="16">
                  <c:v>137.81867790849958</c:v>
                </c:pt>
                <c:pt idx="17">
                  <c:v>146.18585236136838</c:v>
                </c:pt>
                <c:pt idx="18">
                  <c:v>154.50849718747369</c:v>
                </c:pt>
                <c:pt idx="19">
                  <c:v>162.78407722857833</c:v>
                </c:pt>
                <c:pt idx="20">
                  <c:v>171.01007166283435</c:v>
                </c:pt>
                <c:pt idx="21">
                  <c:v>179.18397477265015</c:v>
                </c:pt>
                <c:pt idx="22">
                  <c:v>187.30329670795601</c:v>
                </c:pt>
                <c:pt idx="23">
                  <c:v>195.36556424463686</c:v>
                </c:pt>
                <c:pt idx="24">
                  <c:v>203.36832153790007</c:v>
                </c:pt>
                <c:pt idx="25">
                  <c:v>211.30913087034972</c:v>
                </c:pt>
                <c:pt idx="26">
                  <c:v>219.18557339453869</c:v>
                </c:pt>
                <c:pt idx="27">
                  <c:v>226.99524986977337</c:v>
                </c:pt>
                <c:pt idx="28">
                  <c:v>234.7357813929454</c:v>
                </c:pt>
                <c:pt idx="29">
                  <c:v>242.40481012316852</c:v>
                </c:pt>
                <c:pt idx="30">
                  <c:v>249.99999999999997</c:v>
                </c:pt>
                <c:pt idx="31">
                  <c:v>257.5190374550271</c:v>
                </c:pt>
                <c:pt idx="32">
                  <c:v>264.95963211660245</c:v>
                </c:pt>
                <c:pt idx="33">
                  <c:v>272.31951750751352</c:v>
                </c:pt>
                <c:pt idx="34">
                  <c:v>279.59645173537348</c:v>
                </c:pt>
                <c:pt idx="35">
                  <c:v>286.78821817552301</c:v>
                </c:pt>
                <c:pt idx="36">
                  <c:v>293.89262614623658</c:v>
                </c:pt>
                <c:pt idx="37">
                  <c:v>300.90751157602415</c:v>
                </c:pt>
                <c:pt idx="38">
                  <c:v>307.83073766282911</c:v>
                </c:pt>
                <c:pt idx="39">
                  <c:v>314.66019552491872</c:v>
                </c:pt>
                <c:pt idx="40">
                  <c:v>321.39380484326961</c:v>
                </c:pt>
                <c:pt idx="41">
                  <c:v>328.02951449525358</c:v>
                </c:pt>
                <c:pt idx="42">
                  <c:v>334.56530317942912</c:v>
                </c:pt>
                <c:pt idx="43">
                  <c:v>340.99918003124924</c:v>
                </c:pt>
                <c:pt idx="44">
                  <c:v>347.32918522949865</c:v>
                </c:pt>
                <c:pt idx="45">
                  <c:v>353.55339059327372</c:v>
                </c:pt>
                <c:pt idx="46">
                  <c:v>359.66990016932556</c:v>
                </c:pt>
                <c:pt idx="47">
                  <c:v>365.67685080958523</c:v>
                </c:pt>
                <c:pt idx="48">
                  <c:v>371.57241273869704</c:v>
                </c:pt>
                <c:pt idx="49">
                  <c:v>377.35479011138602</c:v>
                </c:pt>
                <c:pt idx="50">
                  <c:v>383.02222155948903</c:v>
                </c:pt>
                <c:pt idx="51">
                  <c:v>388.57298072848539</c:v>
                </c:pt>
                <c:pt idx="52">
                  <c:v>394.005376803361</c:v>
                </c:pt>
                <c:pt idx="53">
                  <c:v>399.31775502364644</c:v>
                </c:pt>
                <c:pt idx="54">
                  <c:v>404.50849718747372</c:v>
                </c:pt>
                <c:pt idx="55">
                  <c:v>409.57602214449588</c:v>
                </c:pt>
                <c:pt idx="56">
                  <c:v>414.51878627752086</c:v>
                </c:pt>
                <c:pt idx="57">
                  <c:v>419.33528397271198</c:v>
                </c:pt>
                <c:pt idx="58">
                  <c:v>424.02404807821296</c:v>
                </c:pt>
                <c:pt idx="59">
                  <c:v>428.58365035105612</c:v>
                </c:pt>
                <c:pt idx="60">
                  <c:v>433.0127018922193</c:v>
                </c:pt>
                <c:pt idx="61">
                  <c:v>437.30985356969785</c:v>
                </c:pt>
                <c:pt idx="62">
                  <c:v>441.47379642946345</c:v>
                </c:pt>
                <c:pt idx="63">
                  <c:v>445.50326209418387</c:v>
                </c:pt>
                <c:pt idx="64">
                  <c:v>449.3970231495835</c:v>
                </c:pt>
                <c:pt idx="65">
                  <c:v>453.15389351832499</c:v>
                </c:pt>
                <c:pt idx="66">
                  <c:v>456.77272882130046</c:v>
                </c:pt>
                <c:pt idx="67">
                  <c:v>460.25242672622011</c:v>
                </c:pt>
                <c:pt idx="68">
                  <c:v>463.59192728339372</c:v>
                </c:pt>
                <c:pt idx="69">
                  <c:v>466.79021324860088</c:v>
                </c:pt>
                <c:pt idx="70">
                  <c:v>469.84631039295414</c:v>
                </c:pt>
                <c:pt idx="71">
                  <c:v>472.75928779965835</c:v>
                </c:pt>
                <c:pt idx="72">
                  <c:v>475.52825814757676</c:v>
                </c:pt>
                <c:pt idx="73">
                  <c:v>478.1523779815177</c:v>
                </c:pt>
                <c:pt idx="74">
                  <c:v>480.63084796915945</c:v>
                </c:pt>
                <c:pt idx="75">
                  <c:v>482.96291314453418</c:v>
                </c:pt>
                <c:pt idx="76">
                  <c:v>485.14786313799823</c:v>
                </c:pt>
                <c:pt idx="77">
                  <c:v>487.18503239261764</c:v>
                </c:pt>
                <c:pt idx="78">
                  <c:v>489.07380036690279</c:v>
                </c:pt>
                <c:pt idx="79">
                  <c:v>490.81359172383196</c:v>
                </c:pt>
                <c:pt idx="80">
                  <c:v>492.40387650610398</c:v>
                </c:pt>
                <c:pt idx="81">
                  <c:v>493.84417029756889</c:v>
                </c:pt>
                <c:pt idx="82">
                  <c:v>495.13403437078512</c:v>
                </c:pt>
                <c:pt idx="83">
                  <c:v>496.27307582066101</c:v>
                </c:pt>
                <c:pt idx="84">
                  <c:v>497.26094768413662</c:v>
                </c:pt>
                <c:pt idx="85">
                  <c:v>498.09734904587276</c:v>
                </c:pt>
                <c:pt idx="86">
                  <c:v>498.78202512991209</c:v>
                </c:pt>
                <c:pt idx="87">
                  <c:v>499.3147673772869</c:v>
                </c:pt>
                <c:pt idx="88">
                  <c:v>499.6954135095479</c:v>
                </c:pt>
                <c:pt idx="89">
                  <c:v>499.92384757819565</c:v>
                </c:pt>
                <c:pt idx="90">
                  <c:v>500</c:v>
                </c:pt>
                <c:pt idx="91">
                  <c:v>499.92384757819565</c:v>
                </c:pt>
                <c:pt idx="92">
                  <c:v>499.6954135095479</c:v>
                </c:pt>
                <c:pt idx="93">
                  <c:v>499.3147673772869</c:v>
                </c:pt>
                <c:pt idx="94">
                  <c:v>498.78202512991209</c:v>
                </c:pt>
                <c:pt idx="95">
                  <c:v>498.09734904587276</c:v>
                </c:pt>
                <c:pt idx="96">
                  <c:v>497.26094768413668</c:v>
                </c:pt>
                <c:pt idx="97">
                  <c:v>496.27307582066106</c:v>
                </c:pt>
                <c:pt idx="98">
                  <c:v>495.13403437078517</c:v>
                </c:pt>
                <c:pt idx="99">
                  <c:v>493.84417029756884</c:v>
                </c:pt>
                <c:pt idx="100">
                  <c:v>492.40387650610398</c:v>
                </c:pt>
                <c:pt idx="101">
                  <c:v>490.81359172383196</c:v>
                </c:pt>
                <c:pt idx="102">
                  <c:v>489.07380036690284</c:v>
                </c:pt>
                <c:pt idx="103">
                  <c:v>487.18503239261764</c:v>
                </c:pt>
                <c:pt idx="104">
                  <c:v>485.14786313799823</c:v>
                </c:pt>
                <c:pt idx="105">
                  <c:v>482.96291314453418</c:v>
                </c:pt>
                <c:pt idx="106">
                  <c:v>480.63084796915945</c:v>
                </c:pt>
                <c:pt idx="107">
                  <c:v>478.15237798151776</c:v>
                </c:pt>
                <c:pt idx="108">
                  <c:v>475.52825814757682</c:v>
                </c:pt>
                <c:pt idx="109">
                  <c:v>472.75928779965841</c:v>
                </c:pt>
                <c:pt idx="110">
                  <c:v>469.84631039295419</c:v>
                </c:pt>
                <c:pt idx="111">
                  <c:v>466.79021324860088</c:v>
                </c:pt>
                <c:pt idx="112">
                  <c:v>463.59192728339372</c:v>
                </c:pt>
                <c:pt idx="113">
                  <c:v>460.25242672622016</c:v>
                </c:pt>
                <c:pt idx="114">
                  <c:v>456.77272882130046</c:v>
                </c:pt>
                <c:pt idx="115">
                  <c:v>453.15389351832505</c:v>
                </c:pt>
                <c:pt idx="116">
                  <c:v>449.39702314958345</c:v>
                </c:pt>
                <c:pt idx="117">
                  <c:v>445.50326209418392</c:v>
                </c:pt>
                <c:pt idx="118">
                  <c:v>441.47379642946356</c:v>
                </c:pt>
                <c:pt idx="119">
                  <c:v>437.30985356969791</c:v>
                </c:pt>
                <c:pt idx="120">
                  <c:v>433.01270189221935</c:v>
                </c:pt>
                <c:pt idx="121">
                  <c:v>428.58365035105618</c:v>
                </c:pt>
                <c:pt idx="122">
                  <c:v>424.02404807821301</c:v>
                </c:pt>
                <c:pt idx="123">
                  <c:v>419.33528397271198</c:v>
                </c:pt>
                <c:pt idx="124">
                  <c:v>414.51878627752086</c:v>
                </c:pt>
                <c:pt idx="125">
                  <c:v>409.57602214449599</c:v>
                </c:pt>
                <c:pt idx="126">
                  <c:v>404.50849718747372</c:v>
                </c:pt>
                <c:pt idx="127">
                  <c:v>399.31775502364638</c:v>
                </c:pt>
                <c:pt idx="128">
                  <c:v>394.005376803361</c:v>
                </c:pt>
                <c:pt idx="129">
                  <c:v>388.5729807284855</c:v>
                </c:pt>
                <c:pt idx="130">
                  <c:v>383.02222155948903</c:v>
                </c:pt>
                <c:pt idx="131">
                  <c:v>377.35479011138591</c:v>
                </c:pt>
                <c:pt idx="132">
                  <c:v>371.5724127386971</c:v>
                </c:pt>
                <c:pt idx="133">
                  <c:v>365.67685080958529</c:v>
                </c:pt>
                <c:pt idx="134">
                  <c:v>359.66990016932573</c:v>
                </c:pt>
                <c:pt idx="135">
                  <c:v>353.55339059327378</c:v>
                </c:pt>
                <c:pt idx="136">
                  <c:v>347.32918522949859</c:v>
                </c:pt>
                <c:pt idx="137">
                  <c:v>340.9991800312493</c:v>
                </c:pt>
                <c:pt idx="138">
                  <c:v>334.56530317942918</c:v>
                </c:pt>
                <c:pt idx="139">
                  <c:v>328.02951449525364</c:v>
                </c:pt>
                <c:pt idx="140">
                  <c:v>321.39380484326972</c:v>
                </c:pt>
                <c:pt idx="141">
                  <c:v>314.66019552491889</c:v>
                </c:pt>
                <c:pt idx="142">
                  <c:v>307.83073766282922</c:v>
                </c:pt>
                <c:pt idx="143">
                  <c:v>300.90751157602409</c:v>
                </c:pt>
                <c:pt idx="144">
                  <c:v>293.89262614623664</c:v>
                </c:pt>
                <c:pt idx="145">
                  <c:v>286.78821817552318</c:v>
                </c:pt>
                <c:pt idx="146">
                  <c:v>279.59645173537348</c:v>
                </c:pt>
                <c:pt idx="147">
                  <c:v>272.31951750751347</c:v>
                </c:pt>
                <c:pt idx="148">
                  <c:v>264.95963211660245</c:v>
                </c:pt>
                <c:pt idx="149">
                  <c:v>257.51903745502722</c:v>
                </c:pt>
                <c:pt idx="150">
                  <c:v>249.99999999999997</c:v>
                </c:pt>
                <c:pt idx="151">
                  <c:v>242.40481012316857</c:v>
                </c:pt>
                <c:pt idx="152">
                  <c:v>234.73578139294554</c:v>
                </c:pt>
                <c:pt idx="153">
                  <c:v>226.99524986977343</c:v>
                </c:pt>
                <c:pt idx="154">
                  <c:v>219.18557339453864</c:v>
                </c:pt>
                <c:pt idx="155">
                  <c:v>211.30913087034975</c:v>
                </c:pt>
                <c:pt idx="156">
                  <c:v>203.36832153790021</c:v>
                </c:pt>
                <c:pt idx="157">
                  <c:v>195.36556424463708</c:v>
                </c:pt>
                <c:pt idx="158">
                  <c:v>187.30329670795612</c:v>
                </c:pt>
                <c:pt idx="159">
                  <c:v>179.18397477265012</c:v>
                </c:pt>
                <c:pt idx="160">
                  <c:v>171.01007166283443</c:v>
                </c:pt>
                <c:pt idx="161">
                  <c:v>162.78407722857852</c:v>
                </c:pt>
                <c:pt idx="162">
                  <c:v>154.50849718747375</c:v>
                </c:pt>
                <c:pt idx="163">
                  <c:v>146.18585236136852</c:v>
                </c:pt>
                <c:pt idx="164">
                  <c:v>137.81867790849984</c:v>
                </c:pt>
                <c:pt idx="165">
                  <c:v>129.40952255126052</c:v>
                </c:pt>
                <c:pt idx="166">
                  <c:v>120.96094779983386</c:v>
                </c:pt>
                <c:pt idx="167">
                  <c:v>112.47552717193238</c:v>
                </c:pt>
                <c:pt idx="168">
                  <c:v>103.95584540887965</c:v>
                </c:pt>
                <c:pt idx="169">
                  <c:v>95.404497688272485</c:v>
                </c:pt>
                <c:pt idx="170">
                  <c:v>86.82408883346514</c:v>
                </c:pt>
                <c:pt idx="171">
                  <c:v>78.217232520115488</c:v>
                </c:pt>
                <c:pt idx="172">
                  <c:v>69.586550480032869</c:v>
                </c:pt>
                <c:pt idx="173">
                  <c:v>60.934671702573773</c:v>
                </c:pt>
                <c:pt idx="174">
                  <c:v>52.264231633826867</c:v>
                </c:pt>
                <c:pt idx="175">
                  <c:v>43.577871373829318</c:v>
                </c:pt>
                <c:pt idx="176">
                  <c:v>34.878236872062764</c:v>
                </c:pt>
                <c:pt idx="177">
                  <c:v>26.167978121471904</c:v>
                </c:pt>
                <c:pt idx="178">
                  <c:v>17.449748351250349</c:v>
                </c:pt>
                <c:pt idx="179">
                  <c:v>8.7262032186417198</c:v>
                </c:pt>
                <c:pt idx="180">
                  <c:v>6.1257422745431001E-14</c:v>
                </c:pt>
                <c:pt idx="181">
                  <c:v>-8.7262032186415954</c:v>
                </c:pt>
                <c:pt idx="182">
                  <c:v>-17.449748351250449</c:v>
                </c:pt>
                <c:pt idx="183">
                  <c:v>-26.16797812147178</c:v>
                </c:pt>
                <c:pt idx="184">
                  <c:v>-34.878236872062416</c:v>
                </c:pt>
                <c:pt idx="185">
                  <c:v>-43.57787137382897</c:v>
                </c:pt>
                <c:pt idx="186">
                  <c:v>-52.264231633826526</c:v>
                </c:pt>
                <c:pt idx="187">
                  <c:v>-60.934671702573873</c:v>
                </c:pt>
                <c:pt idx="188">
                  <c:v>-69.586550480032756</c:v>
                </c:pt>
                <c:pt idx="189">
                  <c:v>-78.21723252011536</c:v>
                </c:pt>
                <c:pt idx="190">
                  <c:v>-86.82408883346524</c:v>
                </c:pt>
                <c:pt idx="191">
                  <c:v>-95.404497688272357</c:v>
                </c:pt>
                <c:pt idx="192">
                  <c:v>-103.95584540887953</c:v>
                </c:pt>
                <c:pt idx="193">
                  <c:v>-112.47552717193248</c:v>
                </c:pt>
                <c:pt idx="194">
                  <c:v>-120.96094779983376</c:v>
                </c:pt>
                <c:pt idx="195">
                  <c:v>-129.40952255126018</c:v>
                </c:pt>
                <c:pt idx="196">
                  <c:v>-137.8186779084995</c:v>
                </c:pt>
                <c:pt idx="197">
                  <c:v>-146.18585236136818</c:v>
                </c:pt>
                <c:pt idx="198">
                  <c:v>-154.50849718747386</c:v>
                </c:pt>
                <c:pt idx="199">
                  <c:v>-162.78407722857838</c:v>
                </c:pt>
                <c:pt idx="200">
                  <c:v>-171.01007166283432</c:v>
                </c:pt>
                <c:pt idx="201">
                  <c:v>-179.18397477265023</c:v>
                </c:pt>
                <c:pt idx="202">
                  <c:v>-187.30329670795601</c:v>
                </c:pt>
                <c:pt idx="203">
                  <c:v>-195.36556424463677</c:v>
                </c:pt>
                <c:pt idx="204">
                  <c:v>-203.3683215378999</c:v>
                </c:pt>
                <c:pt idx="205">
                  <c:v>-211.30913087034963</c:v>
                </c:pt>
                <c:pt idx="206">
                  <c:v>-219.18557339453852</c:v>
                </c:pt>
                <c:pt idx="207">
                  <c:v>-226.99524986977312</c:v>
                </c:pt>
                <c:pt idx="208">
                  <c:v>-234.73578139294543</c:v>
                </c:pt>
                <c:pt idx="209">
                  <c:v>-242.40481012316846</c:v>
                </c:pt>
                <c:pt idx="210">
                  <c:v>-250.00000000000006</c:v>
                </c:pt>
                <c:pt idx="211">
                  <c:v>-257.5190374550271</c:v>
                </c:pt>
                <c:pt idx="212">
                  <c:v>-264.95963211660239</c:v>
                </c:pt>
                <c:pt idx="213">
                  <c:v>-272.31951750751352</c:v>
                </c:pt>
                <c:pt idx="214">
                  <c:v>-279.59645173537336</c:v>
                </c:pt>
                <c:pt idx="215">
                  <c:v>-286.7882181755229</c:v>
                </c:pt>
                <c:pt idx="216">
                  <c:v>-293.89262614623652</c:v>
                </c:pt>
                <c:pt idx="217">
                  <c:v>-300.90751157602404</c:v>
                </c:pt>
                <c:pt idx="218">
                  <c:v>-307.83073766282894</c:v>
                </c:pt>
                <c:pt idx="219">
                  <c:v>-314.66019552491883</c:v>
                </c:pt>
                <c:pt idx="220">
                  <c:v>-321.39380484326961</c:v>
                </c:pt>
                <c:pt idx="221">
                  <c:v>-328.02951449525369</c:v>
                </c:pt>
                <c:pt idx="222">
                  <c:v>-334.56530317942912</c:v>
                </c:pt>
                <c:pt idx="223">
                  <c:v>-340.99918003124918</c:v>
                </c:pt>
                <c:pt idx="224">
                  <c:v>-347.32918522949871</c:v>
                </c:pt>
                <c:pt idx="225">
                  <c:v>-353.55339059327372</c:v>
                </c:pt>
                <c:pt idx="226">
                  <c:v>-359.66990016932544</c:v>
                </c:pt>
                <c:pt idx="227">
                  <c:v>-365.67685080958506</c:v>
                </c:pt>
                <c:pt idx="228">
                  <c:v>-371.57241273869704</c:v>
                </c:pt>
                <c:pt idx="229">
                  <c:v>-377.35479011138585</c:v>
                </c:pt>
                <c:pt idx="230">
                  <c:v>-383.02222155948897</c:v>
                </c:pt>
                <c:pt idx="231">
                  <c:v>-388.57298072848556</c:v>
                </c:pt>
                <c:pt idx="232">
                  <c:v>-394.00537680336106</c:v>
                </c:pt>
                <c:pt idx="233">
                  <c:v>-399.31775502364644</c:v>
                </c:pt>
                <c:pt idx="234">
                  <c:v>-404.50849718747367</c:v>
                </c:pt>
                <c:pt idx="235">
                  <c:v>-409.57602214449577</c:v>
                </c:pt>
                <c:pt idx="236">
                  <c:v>-414.51878627752069</c:v>
                </c:pt>
                <c:pt idx="237">
                  <c:v>-419.33528397271203</c:v>
                </c:pt>
                <c:pt idx="238">
                  <c:v>-424.02404807821296</c:v>
                </c:pt>
                <c:pt idx="239">
                  <c:v>-428.58365035105606</c:v>
                </c:pt>
                <c:pt idx="240">
                  <c:v>-433.01270189221918</c:v>
                </c:pt>
                <c:pt idx="241">
                  <c:v>-437.30985356969796</c:v>
                </c:pt>
                <c:pt idx="242">
                  <c:v>-441.4737964294635</c:v>
                </c:pt>
                <c:pt idx="243">
                  <c:v>-445.50326209418387</c:v>
                </c:pt>
                <c:pt idx="244">
                  <c:v>-449.39702314958339</c:v>
                </c:pt>
                <c:pt idx="245">
                  <c:v>-453.15389351832488</c:v>
                </c:pt>
                <c:pt idx="246">
                  <c:v>-456.77272882130046</c:v>
                </c:pt>
                <c:pt idx="247">
                  <c:v>-460.25242672622011</c:v>
                </c:pt>
                <c:pt idx="248">
                  <c:v>-463.59192728339366</c:v>
                </c:pt>
                <c:pt idx="249">
                  <c:v>-466.79021324860082</c:v>
                </c:pt>
                <c:pt idx="250">
                  <c:v>-469.84631039295408</c:v>
                </c:pt>
                <c:pt idx="251">
                  <c:v>-472.75928779965841</c:v>
                </c:pt>
                <c:pt idx="252">
                  <c:v>-475.52825814757676</c:v>
                </c:pt>
                <c:pt idx="253">
                  <c:v>-478.15237798151765</c:v>
                </c:pt>
                <c:pt idx="254">
                  <c:v>-480.6308479691595</c:v>
                </c:pt>
                <c:pt idx="255">
                  <c:v>-482.96291314453418</c:v>
                </c:pt>
                <c:pt idx="256">
                  <c:v>-485.14786313799823</c:v>
                </c:pt>
                <c:pt idx="257">
                  <c:v>-487.18503239261759</c:v>
                </c:pt>
                <c:pt idx="258">
                  <c:v>-489.07380036690279</c:v>
                </c:pt>
                <c:pt idx="259">
                  <c:v>-490.81359172383191</c:v>
                </c:pt>
                <c:pt idx="260">
                  <c:v>-492.40387650610398</c:v>
                </c:pt>
                <c:pt idx="261">
                  <c:v>-493.84417029756884</c:v>
                </c:pt>
                <c:pt idx="262">
                  <c:v>-495.13403437078517</c:v>
                </c:pt>
                <c:pt idx="263">
                  <c:v>-496.27307582066106</c:v>
                </c:pt>
                <c:pt idx="264">
                  <c:v>-497.26094768413668</c:v>
                </c:pt>
                <c:pt idx="265">
                  <c:v>-498.09734904587276</c:v>
                </c:pt>
                <c:pt idx="266">
                  <c:v>-498.78202512991209</c:v>
                </c:pt>
                <c:pt idx="267">
                  <c:v>-499.3147673772869</c:v>
                </c:pt>
                <c:pt idx="268">
                  <c:v>-499.69541350954785</c:v>
                </c:pt>
                <c:pt idx="269">
                  <c:v>-499.92384757819565</c:v>
                </c:pt>
                <c:pt idx="270">
                  <c:v>-500</c:v>
                </c:pt>
                <c:pt idx="271">
                  <c:v>-499.92384757819565</c:v>
                </c:pt>
                <c:pt idx="272">
                  <c:v>-499.6954135095479</c:v>
                </c:pt>
                <c:pt idx="273">
                  <c:v>-499.3147673772869</c:v>
                </c:pt>
                <c:pt idx="274">
                  <c:v>-498.78202512991214</c:v>
                </c:pt>
                <c:pt idx="275">
                  <c:v>-498.09734904587276</c:v>
                </c:pt>
                <c:pt idx="276">
                  <c:v>-497.26094768413668</c:v>
                </c:pt>
                <c:pt idx="277">
                  <c:v>-496.27307582066101</c:v>
                </c:pt>
                <c:pt idx="278">
                  <c:v>-495.13403437078517</c:v>
                </c:pt>
                <c:pt idx="279">
                  <c:v>-493.84417029756889</c:v>
                </c:pt>
                <c:pt idx="280">
                  <c:v>-492.40387650610404</c:v>
                </c:pt>
                <c:pt idx="281">
                  <c:v>-490.81359172383202</c:v>
                </c:pt>
                <c:pt idx="282">
                  <c:v>-489.0738003669029</c:v>
                </c:pt>
                <c:pt idx="283">
                  <c:v>-487.18503239261764</c:v>
                </c:pt>
                <c:pt idx="284">
                  <c:v>-485.14786313799829</c:v>
                </c:pt>
                <c:pt idx="285">
                  <c:v>-482.96291314453413</c:v>
                </c:pt>
                <c:pt idx="286">
                  <c:v>-480.63084796915939</c:v>
                </c:pt>
                <c:pt idx="287">
                  <c:v>-478.1523779815177</c:v>
                </c:pt>
                <c:pt idx="288">
                  <c:v>-475.52825814757682</c:v>
                </c:pt>
                <c:pt idx="289">
                  <c:v>-472.75928779965847</c:v>
                </c:pt>
                <c:pt idx="290">
                  <c:v>-469.84631039295425</c:v>
                </c:pt>
                <c:pt idx="291">
                  <c:v>-466.79021324860105</c:v>
                </c:pt>
                <c:pt idx="292">
                  <c:v>-463.59192728339372</c:v>
                </c:pt>
                <c:pt idx="293">
                  <c:v>-460.25242672622022</c:v>
                </c:pt>
                <c:pt idx="294">
                  <c:v>-456.7727288213004</c:v>
                </c:pt>
                <c:pt idx="295">
                  <c:v>-453.15389351832499</c:v>
                </c:pt>
                <c:pt idx="296">
                  <c:v>-449.3970231495835</c:v>
                </c:pt>
                <c:pt idx="297">
                  <c:v>-445.50326209418392</c:v>
                </c:pt>
                <c:pt idx="298">
                  <c:v>-441.47379642946356</c:v>
                </c:pt>
                <c:pt idx="299">
                  <c:v>-437.30985356969802</c:v>
                </c:pt>
                <c:pt idx="300">
                  <c:v>-433.0127018922193</c:v>
                </c:pt>
                <c:pt idx="301">
                  <c:v>-428.58365035105618</c:v>
                </c:pt>
                <c:pt idx="302">
                  <c:v>-424.02404807821307</c:v>
                </c:pt>
                <c:pt idx="303">
                  <c:v>-419.33528397271215</c:v>
                </c:pt>
                <c:pt idx="304">
                  <c:v>-414.51878627752103</c:v>
                </c:pt>
                <c:pt idx="305">
                  <c:v>-409.57602214449588</c:v>
                </c:pt>
                <c:pt idx="306">
                  <c:v>-404.50849718747378</c:v>
                </c:pt>
                <c:pt idx="307">
                  <c:v>-399.3177550236465</c:v>
                </c:pt>
                <c:pt idx="308">
                  <c:v>-394.00537680336089</c:v>
                </c:pt>
                <c:pt idx="309">
                  <c:v>-388.57298072848539</c:v>
                </c:pt>
                <c:pt idx="310">
                  <c:v>-383.02222155948908</c:v>
                </c:pt>
                <c:pt idx="311">
                  <c:v>-377.35479011138614</c:v>
                </c:pt>
                <c:pt idx="312">
                  <c:v>-371.57241273869727</c:v>
                </c:pt>
                <c:pt idx="313">
                  <c:v>-365.67685080958552</c:v>
                </c:pt>
                <c:pt idx="314">
                  <c:v>-359.6699001693259</c:v>
                </c:pt>
                <c:pt idx="315">
                  <c:v>-353.55339059327383</c:v>
                </c:pt>
                <c:pt idx="316">
                  <c:v>-347.32918522949882</c:v>
                </c:pt>
                <c:pt idx="317">
                  <c:v>-340.99918003124913</c:v>
                </c:pt>
                <c:pt idx="318">
                  <c:v>-334.56530317942907</c:v>
                </c:pt>
                <c:pt idx="319">
                  <c:v>-328.02951449525369</c:v>
                </c:pt>
                <c:pt idx="320">
                  <c:v>-321.39380484326978</c:v>
                </c:pt>
                <c:pt idx="321">
                  <c:v>-314.66019552491889</c:v>
                </c:pt>
                <c:pt idx="322">
                  <c:v>-307.83073766282945</c:v>
                </c:pt>
                <c:pt idx="323">
                  <c:v>-300.90751157602415</c:v>
                </c:pt>
                <c:pt idx="324">
                  <c:v>-293.89262614623669</c:v>
                </c:pt>
                <c:pt idx="325">
                  <c:v>-286.78821817552324</c:v>
                </c:pt>
                <c:pt idx="326">
                  <c:v>-279.59645173537365</c:v>
                </c:pt>
                <c:pt idx="327">
                  <c:v>-272.31951750751347</c:v>
                </c:pt>
                <c:pt idx="328">
                  <c:v>-264.9596321166029</c:v>
                </c:pt>
                <c:pt idx="329">
                  <c:v>-257.51903745502722</c:v>
                </c:pt>
                <c:pt idx="330">
                  <c:v>-250.00000000000023</c:v>
                </c:pt>
                <c:pt idx="331">
                  <c:v>-242.40481012316846</c:v>
                </c:pt>
                <c:pt idx="332">
                  <c:v>-234.7357813929454</c:v>
                </c:pt>
                <c:pt idx="333">
                  <c:v>-226.99524986977349</c:v>
                </c:pt>
                <c:pt idx="334">
                  <c:v>-219.18557339453849</c:v>
                </c:pt>
                <c:pt idx="335">
                  <c:v>-211.30913087035</c:v>
                </c:pt>
                <c:pt idx="336">
                  <c:v>-203.36832153790007</c:v>
                </c:pt>
                <c:pt idx="337">
                  <c:v>-195.36556424463737</c:v>
                </c:pt>
                <c:pt idx="338">
                  <c:v>-187.30329670795618</c:v>
                </c:pt>
                <c:pt idx="339">
                  <c:v>-179.18397477265037</c:v>
                </c:pt>
                <c:pt idx="340">
                  <c:v>-171.01007166283429</c:v>
                </c:pt>
                <c:pt idx="341">
                  <c:v>-162.78407722857875</c:v>
                </c:pt>
                <c:pt idx="342">
                  <c:v>-154.50849718747381</c:v>
                </c:pt>
                <c:pt idx="343">
                  <c:v>-146.18585236136815</c:v>
                </c:pt>
                <c:pt idx="344">
                  <c:v>-137.81867790849989</c:v>
                </c:pt>
                <c:pt idx="345">
                  <c:v>-129.40952255126035</c:v>
                </c:pt>
                <c:pt idx="346">
                  <c:v>-120.96094779983393</c:v>
                </c:pt>
                <c:pt idx="347">
                  <c:v>-112.47552717193267</c:v>
                </c:pt>
                <c:pt idx="348">
                  <c:v>-103.95584540887994</c:v>
                </c:pt>
                <c:pt idx="349">
                  <c:v>-95.404497688272329</c:v>
                </c:pt>
                <c:pt idx="350">
                  <c:v>-86.824088833465638</c:v>
                </c:pt>
                <c:pt idx="351">
                  <c:v>-78.217232520115559</c:v>
                </c:pt>
                <c:pt idx="352">
                  <c:v>-69.58655048003294</c:v>
                </c:pt>
                <c:pt idx="353">
                  <c:v>-60.934671702574057</c:v>
                </c:pt>
                <c:pt idx="354">
                  <c:v>-52.264231633826711</c:v>
                </c:pt>
                <c:pt idx="355">
                  <c:v>-43.577871373829161</c:v>
                </c:pt>
                <c:pt idx="356">
                  <c:v>-34.878236872062381</c:v>
                </c:pt>
                <c:pt idx="357">
                  <c:v>-26.167978121472185</c:v>
                </c:pt>
                <c:pt idx="358">
                  <c:v>-17.449748351250413</c:v>
                </c:pt>
                <c:pt idx="359">
                  <c:v>-8.7262032186422243</c:v>
                </c:pt>
                <c:pt idx="360">
                  <c:v>-1.22514845490862E-13</c:v>
                </c:pt>
              </c:numCache>
            </c:numRef>
          </c:xVal>
          <c:yVal>
            <c:numRef>
              <c:f>Aufsicht!$J$10:$J$370</c:f>
              <c:numCache>
                <c:formatCode>General</c:formatCode>
                <c:ptCount val="361"/>
                <c:pt idx="0">
                  <c:v>500</c:v>
                </c:pt>
                <c:pt idx="1">
                  <c:v>499.92384757819565</c:v>
                </c:pt>
                <c:pt idx="2">
                  <c:v>499.6954135095479</c:v>
                </c:pt>
                <c:pt idx="3">
                  <c:v>499.3147673772869</c:v>
                </c:pt>
                <c:pt idx="4">
                  <c:v>498.78202512991209</c:v>
                </c:pt>
                <c:pt idx="5">
                  <c:v>498.09734904587276</c:v>
                </c:pt>
                <c:pt idx="6">
                  <c:v>497.26094768413662</c:v>
                </c:pt>
                <c:pt idx="7">
                  <c:v>496.27307582066101</c:v>
                </c:pt>
                <c:pt idx="8">
                  <c:v>495.13403437078517</c:v>
                </c:pt>
                <c:pt idx="9">
                  <c:v>493.84417029756889</c:v>
                </c:pt>
                <c:pt idx="10">
                  <c:v>492.40387650610398</c:v>
                </c:pt>
                <c:pt idx="11">
                  <c:v>490.81359172383196</c:v>
                </c:pt>
                <c:pt idx="12">
                  <c:v>489.07380036690284</c:v>
                </c:pt>
                <c:pt idx="13">
                  <c:v>487.18503239261764</c:v>
                </c:pt>
                <c:pt idx="14">
                  <c:v>485.14786313799823</c:v>
                </c:pt>
                <c:pt idx="15">
                  <c:v>482.96291314453418</c:v>
                </c:pt>
                <c:pt idx="16">
                  <c:v>480.63084796915945</c:v>
                </c:pt>
                <c:pt idx="17">
                  <c:v>478.1523779815177</c:v>
                </c:pt>
                <c:pt idx="18">
                  <c:v>475.52825814757676</c:v>
                </c:pt>
                <c:pt idx="19">
                  <c:v>472.75928779965841</c:v>
                </c:pt>
                <c:pt idx="20">
                  <c:v>469.84631039295419</c:v>
                </c:pt>
                <c:pt idx="21">
                  <c:v>466.79021324860088</c:v>
                </c:pt>
                <c:pt idx="22">
                  <c:v>463.59192728339372</c:v>
                </c:pt>
                <c:pt idx="23">
                  <c:v>460.25242672622016</c:v>
                </c:pt>
                <c:pt idx="24">
                  <c:v>456.77272882130046</c:v>
                </c:pt>
                <c:pt idx="25">
                  <c:v>453.15389351832499</c:v>
                </c:pt>
                <c:pt idx="26">
                  <c:v>449.3970231495835</c:v>
                </c:pt>
                <c:pt idx="27">
                  <c:v>445.50326209418392</c:v>
                </c:pt>
                <c:pt idx="28">
                  <c:v>441.4737964294635</c:v>
                </c:pt>
                <c:pt idx="29">
                  <c:v>437.30985356969785</c:v>
                </c:pt>
                <c:pt idx="30">
                  <c:v>433.01270189221935</c:v>
                </c:pt>
                <c:pt idx="31">
                  <c:v>428.58365035105618</c:v>
                </c:pt>
                <c:pt idx="32">
                  <c:v>424.02404807821296</c:v>
                </c:pt>
                <c:pt idx="33">
                  <c:v>419.33528397271203</c:v>
                </c:pt>
                <c:pt idx="34">
                  <c:v>414.5187862775208</c:v>
                </c:pt>
                <c:pt idx="35">
                  <c:v>409.57602214449588</c:v>
                </c:pt>
                <c:pt idx="36">
                  <c:v>404.50849718747372</c:v>
                </c:pt>
                <c:pt idx="37">
                  <c:v>399.31775502364644</c:v>
                </c:pt>
                <c:pt idx="38">
                  <c:v>394.005376803361</c:v>
                </c:pt>
                <c:pt idx="39">
                  <c:v>388.57298072848545</c:v>
                </c:pt>
                <c:pt idx="40">
                  <c:v>383.02222155948903</c:v>
                </c:pt>
                <c:pt idx="41">
                  <c:v>377.35479011138608</c:v>
                </c:pt>
                <c:pt idx="42">
                  <c:v>371.5724127386971</c:v>
                </c:pt>
                <c:pt idx="43">
                  <c:v>365.67685080958529</c:v>
                </c:pt>
                <c:pt idx="44">
                  <c:v>359.66990016932562</c:v>
                </c:pt>
                <c:pt idx="45">
                  <c:v>353.55339059327378</c:v>
                </c:pt>
                <c:pt idx="46">
                  <c:v>347.32918522949871</c:v>
                </c:pt>
                <c:pt idx="47">
                  <c:v>340.99918003124924</c:v>
                </c:pt>
                <c:pt idx="48">
                  <c:v>334.56530317942912</c:v>
                </c:pt>
                <c:pt idx="49">
                  <c:v>328.02951449525364</c:v>
                </c:pt>
                <c:pt idx="50">
                  <c:v>321.39380484326966</c:v>
                </c:pt>
                <c:pt idx="51">
                  <c:v>314.66019552491878</c:v>
                </c:pt>
                <c:pt idx="52">
                  <c:v>307.83073766282916</c:v>
                </c:pt>
                <c:pt idx="53">
                  <c:v>300.90751157602421</c:v>
                </c:pt>
                <c:pt idx="54">
                  <c:v>293.89262614623658</c:v>
                </c:pt>
                <c:pt idx="55">
                  <c:v>286.78821817552307</c:v>
                </c:pt>
                <c:pt idx="56">
                  <c:v>279.59645173537342</c:v>
                </c:pt>
                <c:pt idx="57">
                  <c:v>272.31951750751358</c:v>
                </c:pt>
                <c:pt idx="58">
                  <c:v>264.95963211660245</c:v>
                </c:pt>
                <c:pt idx="59">
                  <c:v>257.51903745502722</c:v>
                </c:pt>
                <c:pt idx="60">
                  <c:v>250.00000000000006</c:v>
                </c:pt>
                <c:pt idx="61">
                  <c:v>242.40481012316855</c:v>
                </c:pt>
                <c:pt idx="62">
                  <c:v>234.73578139294543</c:v>
                </c:pt>
                <c:pt idx="63">
                  <c:v>226.9952498697734</c:v>
                </c:pt>
                <c:pt idx="64">
                  <c:v>219.18557339453872</c:v>
                </c:pt>
                <c:pt idx="65">
                  <c:v>211.30913087034972</c:v>
                </c:pt>
                <c:pt idx="66">
                  <c:v>203.3683215379001</c:v>
                </c:pt>
                <c:pt idx="67">
                  <c:v>195.36556424463697</c:v>
                </c:pt>
                <c:pt idx="68">
                  <c:v>187.30329670795598</c:v>
                </c:pt>
                <c:pt idx="69">
                  <c:v>179.1839747726502</c:v>
                </c:pt>
                <c:pt idx="70">
                  <c:v>171.01007166283441</c:v>
                </c:pt>
                <c:pt idx="71">
                  <c:v>162.78407722857838</c:v>
                </c:pt>
                <c:pt idx="72">
                  <c:v>154.50849718747372</c:v>
                </c:pt>
                <c:pt idx="73">
                  <c:v>146.18585236136838</c:v>
                </c:pt>
                <c:pt idx="74">
                  <c:v>137.81867790849958</c:v>
                </c:pt>
                <c:pt idx="75">
                  <c:v>129.40952255126038</c:v>
                </c:pt>
                <c:pt idx="76">
                  <c:v>120.96094779983395</c:v>
                </c:pt>
                <c:pt idx="77">
                  <c:v>112.47552717193246</c:v>
                </c:pt>
                <c:pt idx="78">
                  <c:v>103.95584540887972</c:v>
                </c:pt>
                <c:pt idx="79">
                  <c:v>95.404497688272457</c:v>
                </c:pt>
                <c:pt idx="80">
                  <c:v>86.824088833465211</c:v>
                </c:pt>
                <c:pt idx="81">
                  <c:v>78.217232520115459</c:v>
                </c:pt>
                <c:pt idx="82">
                  <c:v>69.586550480032841</c:v>
                </c:pt>
                <c:pt idx="83">
                  <c:v>60.934671702573745</c:v>
                </c:pt>
                <c:pt idx="84">
                  <c:v>52.264231633826725</c:v>
                </c:pt>
                <c:pt idx="85">
                  <c:v>43.577871373829069</c:v>
                </c:pt>
                <c:pt idx="86">
                  <c:v>34.878236872062729</c:v>
                </c:pt>
                <c:pt idx="87">
                  <c:v>26.167978121471982</c:v>
                </c:pt>
                <c:pt idx="88">
                  <c:v>17.449748351250541</c:v>
                </c:pt>
                <c:pt idx="89">
                  <c:v>8.7262032186416878</c:v>
                </c:pt>
                <c:pt idx="90">
                  <c:v>3.06287113727155E-14</c:v>
                </c:pt>
                <c:pt idx="91">
                  <c:v>-8.7262032186417393</c:v>
                </c:pt>
                <c:pt idx="92">
                  <c:v>-17.449748351250367</c:v>
                </c:pt>
                <c:pt idx="93">
                  <c:v>-26.167978121471808</c:v>
                </c:pt>
                <c:pt idx="94">
                  <c:v>-34.878236872062665</c:v>
                </c:pt>
                <c:pt idx="95">
                  <c:v>-43.577871373829119</c:v>
                </c:pt>
                <c:pt idx="96">
                  <c:v>-52.264231633826668</c:v>
                </c:pt>
                <c:pt idx="97">
                  <c:v>-60.934671702573681</c:v>
                </c:pt>
                <c:pt idx="98">
                  <c:v>-69.58655048003267</c:v>
                </c:pt>
                <c:pt idx="99">
                  <c:v>-78.217232520115516</c:v>
                </c:pt>
                <c:pt idx="100">
                  <c:v>-86.824088833465154</c:v>
                </c:pt>
                <c:pt idx="101">
                  <c:v>-95.4044976882724</c:v>
                </c:pt>
                <c:pt idx="102">
                  <c:v>-103.95584540887955</c:v>
                </c:pt>
                <c:pt idx="103">
                  <c:v>-112.4755271719324</c:v>
                </c:pt>
                <c:pt idx="104">
                  <c:v>-120.96094779983389</c:v>
                </c:pt>
                <c:pt idx="105">
                  <c:v>-129.40952255126044</c:v>
                </c:pt>
                <c:pt idx="106">
                  <c:v>-137.81867790849952</c:v>
                </c:pt>
                <c:pt idx="107">
                  <c:v>-146.18585236136832</c:v>
                </c:pt>
                <c:pt idx="108">
                  <c:v>-154.50849718747367</c:v>
                </c:pt>
                <c:pt idx="109">
                  <c:v>-162.78407722857821</c:v>
                </c:pt>
                <c:pt idx="110">
                  <c:v>-171.01007166283435</c:v>
                </c:pt>
                <c:pt idx="111">
                  <c:v>-179.18397477265015</c:v>
                </c:pt>
                <c:pt idx="112">
                  <c:v>-187.30329670795604</c:v>
                </c:pt>
                <c:pt idx="113">
                  <c:v>-195.3655642446368</c:v>
                </c:pt>
                <c:pt idx="114">
                  <c:v>-203.36832153790002</c:v>
                </c:pt>
                <c:pt idx="115">
                  <c:v>-211.30913087034966</c:v>
                </c:pt>
                <c:pt idx="116">
                  <c:v>-219.18557339453875</c:v>
                </c:pt>
                <c:pt idx="117">
                  <c:v>-226.99524986977335</c:v>
                </c:pt>
                <c:pt idx="118">
                  <c:v>-234.73578139294526</c:v>
                </c:pt>
                <c:pt idx="119">
                  <c:v>-242.40481012316849</c:v>
                </c:pt>
                <c:pt idx="120">
                  <c:v>-249.99999999999989</c:v>
                </c:pt>
                <c:pt idx="121">
                  <c:v>-257.51903745502716</c:v>
                </c:pt>
                <c:pt idx="122">
                  <c:v>-264.95963211660239</c:v>
                </c:pt>
                <c:pt idx="123">
                  <c:v>-272.31951750751352</c:v>
                </c:pt>
                <c:pt idx="124">
                  <c:v>-279.59645173537336</c:v>
                </c:pt>
                <c:pt idx="125">
                  <c:v>-286.7882181755229</c:v>
                </c:pt>
                <c:pt idx="126">
                  <c:v>-293.89262614623652</c:v>
                </c:pt>
                <c:pt idx="127">
                  <c:v>-300.90751157602421</c:v>
                </c:pt>
                <c:pt idx="128">
                  <c:v>-307.83073766282916</c:v>
                </c:pt>
                <c:pt idx="129">
                  <c:v>-314.66019552491866</c:v>
                </c:pt>
                <c:pt idx="130">
                  <c:v>-321.39380484326966</c:v>
                </c:pt>
                <c:pt idx="131">
                  <c:v>-328.02951449525375</c:v>
                </c:pt>
                <c:pt idx="132">
                  <c:v>-334.56530317942912</c:v>
                </c:pt>
                <c:pt idx="133">
                  <c:v>-340.99918003124918</c:v>
                </c:pt>
                <c:pt idx="134">
                  <c:v>-347.32918522949853</c:v>
                </c:pt>
                <c:pt idx="135">
                  <c:v>-353.55339059327372</c:v>
                </c:pt>
                <c:pt idx="136">
                  <c:v>-359.66990016932562</c:v>
                </c:pt>
                <c:pt idx="137">
                  <c:v>-365.67685080958523</c:v>
                </c:pt>
                <c:pt idx="138">
                  <c:v>-371.57241273869704</c:v>
                </c:pt>
                <c:pt idx="139">
                  <c:v>-377.35479011138602</c:v>
                </c:pt>
                <c:pt idx="140">
                  <c:v>-383.02222155948897</c:v>
                </c:pt>
                <c:pt idx="141">
                  <c:v>-388.57298072848533</c:v>
                </c:pt>
                <c:pt idx="142">
                  <c:v>-394.00537680336095</c:v>
                </c:pt>
                <c:pt idx="143">
                  <c:v>-399.3177550236465</c:v>
                </c:pt>
                <c:pt idx="144">
                  <c:v>-404.50849718747367</c:v>
                </c:pt>
                <c:pt idx="145">
                  <c:v>-409.57602214449577</c:v>
                </c:pt>
                <c:pt idx="146">
                  <c:v>-414.5187862775208</c:v>
                </c:pt>
                <c:pt idx="147">
                  <c:v>-419.33528397271209</c:v>
                </c:pt>
                <c:pt idx="148">
                  <c:v>-424.02404807821296</c:v>
                </c:pt>
                <c:pt idx="149">
                  <c:v>-428.58365035105612</c:v>
                </c:pt>
                <c:pt idx="150">
                  <c:v>-433.01270189221935</c:v>
                </c:pt>
                <c:pt idx="151">
                  <c:v>-437.30985356969785</c:v>
                </c:pt>
                <c:pt idx="152">
                  <c:v>-441.47379642946339</c:v>
                </c:pt>
                <c:pt idx="153">
                  <c:v>-445.50326209418387</c:v>
                </c:pt>
                <c:pt idx="154">
                  <c:v>-449.3970231495835</c:v>
                </c:pt>
                <c:pt idx="155">
                  <c:v>-453.15389351832499</c:v>
                </c:pt>
                <c:pt idx="156">
                  <c:v>-456.7727288213004</c:v>
                </c:pt>
                <c:pt idx="157">
                  <c:v>-460.25242672622005</c:v>
                </c:pt>
                <c:pt idx="158">
                  <c:v>-463.59192728339366</c:v>
                </c:pt>
                <c:pt idx="159">
                  <c:v>-466.79021324860088</c:v>
                </c:pt>
                <c:pt idx="160">
                  <c:v>-469.84631039295414</c:v>
                </c:pt>
                <c:pt idx="161">
                  <c:v>-472.75928779965835</c:v>
                </c:pt>
                <c:pt idx="162">
                  <c:v>-475.52825814757676</c:v>
                </c:pt>
                <c:pt idx="163">
                  <c:v>-478.1523779815177</c:v>
                </c:pt>
                <c:pt idx="164">
                  <c:v>-480.63084796915933</c:v>
                </c:pt>
                <c:pt idx="165">
                  <c:v>-482.96291314453413</c:v>
                </c:pt>
                <c:pt idx="166">
                  <c:v>-485.14786313799823</c:v>
                </c:pt>
                <c:pt idx="167">
                  <c:v>-487.18503239261764</c:v>
                </c:pt>
                <c:pt idx="168">
                  <c:v>-489.07380036690284</c:v>
                </c:pt>
                <c:pt idx="169">
                  <c:v>-490.81359172383196</c:v>
                </c:pt>
                <c:pt idx="170">
                  <c:v>-492.40387650610398</c:v>
                </c:pt>
                <c:pt idx="171">
                  <c:v>-493.84417029756884</c:v>
                </c:pt>
                <c:pt idx="172">
                  <c:v>-495.13403437078512</c:v>
                </c:pt>
                <c:pt idx="173">
                  <c:v>-496.27307582066101</c:v>
                </c:pt>
                <c:pt idx="174">
                  <c:v>-497.26094768413662</c:v>
                </c:pt>
                <c:pt idx="175">
                  <c:v>-498.09734904587276</c:v>
                </c:pt>
                <c:pt idx="176">
                  <c:v>-498.78202512991209</c:v>
                </c:pt>
                <c:pt idx="177">
                  <c:v>-499.3147673772869</c:v>
                </c:pt>
                <c:pt idx="178">
                  <c:v>-499.6954135095479</c:v>
                </c:pt>
                <c:pt idx="179">
                  <c:v>-499.92384757819565</c:v>
                </c:pt>
                <c:pt idx="180">
                  <c:v>-500</c:v>
                </c:pt>
                <c:pt idx="181">
                  <c:v>-499.92384757819565</c:v>
                </c:pt>
                <c:pt idx="182">
                  <c:v>-499.6954135095479</c:v>
                </c:pt>
                <c:pt idx="183">
                  <c:v>-499.3147673772869</c:v>
                </c:pt>
                <c:pt idx="184">
                  <c:v>-498.78202512991214</c:v>
                </c:pt>
                <c:pt idx="185">
                  <c:v>-498.09734904587276</c:v>
                </c:pt>
                <c:pt idx="186">
                  <c:v>-497.26094768413668</c:v>
                </c:pt>
                <c:pt idx="187">
                  <c:v>-496.27307582066101</c:v>
                </c:pt>
                <c:pt idx="188">
                  <c:v>-495.13403437078512</c:v>
                </c:pt>
                <c:pt idx="189">
                  <c:v>-493.84417029756889</c:v>
                </c:pt>
                <c:pt idx="190">
                  <c:v>-492.40387650610398</c:v>
                </c:pt>
                <c:pt idx="191">
                  <c:v>-490.81359172383196</c:v>
                </c:pt>
                <c:pt idx="192">
                  <c:v>-489.07380036690284</c:v>
                </c:pt>
                <c:pt idx="193">
                  <c:v>-487.18503239261764</c:v>
                </c:pt>
                <c:pt idx="194">
                  <c:v>-485.14786313799823</c:v>
                </c:pt>
                <c:pt idx="195">
                  <c:v>-482.96291314453418</c:v>
                </c:pt>
                <c:pt idx="196">
                  <c:v>-480.63084796915945</c:v>
                </c:pt>
                <c:pt idx="197">
                  <c:v>-478.15237798151776</c:v>
                </c:pt>
                <c:pt idx="198">
                  <c:v>-475.52825814757676</c:v>
                </c:pt>
                <c:pt idx="199">
                  <c:v>-472.75928779965835</c:v>
                </c:pt>
                <c:pt idx="200">
                  <c:v>-469.84631039295419</c:v>
                </c:pt>
                <c:pt idx="201">
                  <c:v>-466.79021324860088</c:v>
                </c:pt>
                <c:pt idx="202">
                  <c:v>-463.59192728339372</c:v>
                </c:pt>
                <c:pt idx="203">
                  <c:v>-460.25242672622016</c:v>
                </c:pt>
                <c:pt idx="204">
                  <c:v>-456.77272882130052</c:v>
                </c:pt>
                <c:pt idx="205">
                  <c:v>-453.15389351832505</c:v>
                </c:pt>
                <c:pt idx="206">
                  <c:v>-449.39702314958356</c:v>
                </c:pt>
                <c:pt idx="207">
                  <c:v>-445.50326209418404</c:v>
                </c:pt>
                <c:pt idx="208">
                  <c:v>-441.47379642946345</c:v>
                </c:pt>
                <c:pt idx="209">
                  <c:v>-437.30985356969791</c:v>
                </c:pt>
                <c:pt idx="210">
                  <c:v>-433.0127018922193</c:v>
                </c:pt>
                <c:pt idx="211">
                  <c:v>-428.58365035105618</c:v>
                </c:pt>
                <c:pt idx="212">
                  <c:v>-424.02404807821301</c:v>
                </c:pt>
                <c:pt idx="213">
                  <c:v>-419.33528397271203</c:v>
                </c:pt>
                <c:pt idx="214">
                  <c:v>-414.51878627752092</c:v>
                </c:pt>
                <c:pt idx="215">
                  <c:v>-409.57602214449599</c:v>
                </c:pt>
                <c:pt idx="216">
                  <c:v>-404.50849718747378</c:v>
                </c:pt>
                <c:pt idx="217">
                  <c:v>-399.3177550236465</c:v>
                </c:pt>
                <c:pt idx="218">
                  <c:v>-394.00537680336112</c:v>
                </c:pt>
                <c:pt idx="219">
                  <c:v>-388.57298072848539</c:v>
                </c:pt>
                <c:pt idx="220">
                  <c:v>-383.02222155948903</c:v>
                </c:pt>
                <c:pt idx="221">
                  <c:v>-377.35479011138597</c:v>
                </c:pt>
                <c:pt idx="222">
                  <c:v>-371.5724127386971</c:v>
                </c:pt>
                <c:pt idx="223">
                  <c:v>-365.67685080958529</c:v>
                </c:pt>
                <c:pt idx="224">
                  <c:v>-359.66990016932556</c:v>
                </c:pt>
                <c:pt idx="225">
                  <c:v>-353.55339059327383</c:v>
                </c:pt>
                <c:pt idx="226">
                  <c:v>-347.32918522949882</c:v>
                </c:pt>
                <c:pt idx="227">
                  <c:v>-340.99918003124947</c:v>
                </c:pt>
                <c:pt idx="228">
                  <c:v>-334.56530317942924</c:v>
                </c:pt>
                <c:pt idx="229">
                  <c:v>-328.02951449525381</c:v>
                </c:pt>
                <c:pt idx="230">
                  <c:v>-321.39380484326972</c:v>
                </c:pt>
                <c:pt idx="231">
                  <c:v>-314.66019552491861</c:v>
                </c:pt>
                <c:pt idx="232">
                  <c:v>-307.83073766282905</c:v>
                </c:pt>
                <c:pt idx="233">
                  <c:v>-300.90751157602415</c:v>
                </c:pt>
                <c:pt idx="234">
                  <c:v>-293.89262614623664</c:v>
                </c:pt>
                <c:pt idx="235">
                  <c:v>-286.78821817552318</c:v>
                </c:pt>
                <c:pt idx="236">
                  <c:v>-279.59645173537359</c:v>
                </c:pt>
                <c:pt idx="237">
                  <c:v>-272.31951750751347</c:v>
                </c:pt>
                <c:pt idx="238">
                  <c:v>-264.95963211660251</c:v>
                </c:pt>
                <c:pt idx="239">
                  <c:v>-257.51903745502722</c:v>
                </c:pt>
                <c:pt idx="240">
                  <c:v>-250.00000000000023</c:v>
                </c:pt>
                <c:pt idx="241">
                  <c:v>-242.40481012316843</c:v>
                </c:pt>
                <c:pt idx="242">
                  <c:v>-234.73578139294537</c:v>
                </c:pt>
                <c:pt idx="243">
                  <c:v>-226.99524986977346</c:v>
                </c:pt>
                <c:pt idx="244">
                  <c:v>-219.18557339453886</c:v>
                </c:pt>
                <c:pt idx="245">
                  <c:v>-211.30913087034997</c:v>
                </c:pt>
                <c:pt idx="246">
                  <c:v>-203.36832153790004</c:v>
                </c:pt>
                <c:pt idx="247">
                  <c:v>-195.36556424463691</c:v>
                </c:pt>
                <c:pt idx="248">
                  <c:v>-187.30329670795615</c:v>
                </c:pt>
                <c:pt idx="249">
                  <c:v>-179.18397477265034</c:v>
                </c:pt>
                <c:pt idx="250">
                  <c:v>-171.01007166283469</c:v>
                </c:pt>
                <c:pt idx="251">
                  <c:v>-162.78407722857833</c:v>
                </c:pt>
                <c:pt idx="252">
                  <c:v>-154.50849718747378</c:v>
                </c:pt>
                <c:pt idx="253">
                  <c:v>-146.18585236136855</c:v>
                </c:pt>
                <c:pt idx="254">
                  <c:v>-137.81867790849944</c:v>
                </c:pt>
                <c:pt idx="255">
                  <c:v>-129.40952255126032</c:v>
                </c:pt>
                <c:pt idx="256">
                  <c:v>-120.96094779983389</c:v>
                </c:pt>
                <c:pt idx="257">
                  <c:v>-112.47552717193263</c:v>
                </c:pt>
                <c:pt idx="258">
                  <c:v>-103.9558454088799</c:v>
                </c:pt>
                <c:pt idx="259">
                  <c:v>-95.404497688272741</c:v>
                </c:pt>
                <c:pt idx="260">
                  <c:v>-86.824088833465169</c:v>
                </c:pt>
                <c:pt idx="261">
                  <c:v>-78.217232520115516</c:v>
                </c:pt>
                <c:pt idx="262">
                  <c:v>-69.586550480032471</c:v>
                </c:pt>
                <c:pt idx="263">
                  <c:v>-60.934671702573588</c:v>
                </c:pt>
                <c:pt idx="264">
                  <c:v>-52.264231633826682</c:v>
                </c:pt>
                <c:pt idx="265">
                  <c:v>-43.577871373829126</c:v>
                </c:pt>
                <c:pt idx="266">
                  <c:v>-34.878236872062793</c:v>
                </c:pt>
                <c:pt idx="267">
                  <c:v>-26.167978121472153</c:v>
                </c:pt>
                <c:pt idx="268">
                  <c:v>-17.449748351250825</c:v>
                </c:pt>
                <c:pt idx="269">
                  <c:v>-8.7262032186417482</c:v>
                </c:pt>
                <c:pt idx="270">
                  <c:v>-9.1886134118146501E-14</c:v>
                </c:pt>
                <c:pt idx="271">
                  <c:v>8.7262032186415652</c:v>
                </c:pt>
                <c:pt idx="272">
                  <c:v>17.449748351250641</c:v>
                </c:pt>
                <c:pt idx="273">
                  <c:v>26.167978121471972</c:v>
                </c:pt>
                <c:pt idx="274">
                  <c:v>34.878236872062608</c:v>
                </c:pt>
                <c:pt idx="275">
                  <c:v>43.577871373828941</c:v>
                </c:pt>
                <c:pt idx="276">
                  <c:v>52.264231633826491</c:v>
                </c:pt>
                <c:pt idx="277">
                  <c:v>60.934671702573844</c:v>
                </c:pt>
                <c:pt idx="278">
                  <c:v>69.586550480032727</c:v>
                </c:pt>
                <c:pt idx="279">
                  <c:v>78.217232520115331</c:v>
                </c:pt>
                <c:pt idx="280">
                  <c:v>86.824088833464984</c:v>
                </c:pt>
                <c:pt idx="281">
                  <c:v>95.40449768827213</c:v>
                </c:pt>
                <c:pt idx="282">
                  <c:v>103.95584540887928</c:v>
                </c:pt>
                <c:pt idx="283">
                  <c:v>112.47552717193246</c:v>
                </c:pt>
                <c:pt idx="284">
                  <c:v>120.96094779983373</c:v>
                </c:pt>
                <c:pt idx="285">
                  <c:v>129.40952255126055</c:v>
                </c:pt>
                <c:pt idx="286">
                  <c:v>137.81867790849969</c:v>
                </c:pt>
                <c:pt idx="287">
                  <c:v>146.18585236136835</c:v>
                </c:pt>
                <c:pt idx="288">
                  <c:v>154.50849718747361</c:v>
                </c:pt>
                <c:pt idx="289">
                  <c:v>162.78407722857816</c:v>
                </c:pt>
                <c:pt idx="290">
                  <c:v>171.01007166283406</c:v>
                </c:pt>
                <c:pt idx="291">
                  <c:v>179.18397477264978</c:v>
                </c:pt>
                <c:pt idx="292">
                  <c:v>187.30329670795598</c:v>
                </c:pt>
                <c:pt idx="293">
                  <c:v>195.36556424463674</c:v>
                </c:pt>
                <c:pt idx="294">
                  <c:v>203.36832153790027</c:v>
                </c:pt>
                <c:pt idx="295">
                  <c:v>211.3091308703498</c:v>
                </c:pt>
                <c:pt idx="296">
                  <c:v>219.18557339453869</c:v>
                </c:pt>
                <c:pt idx="297">
                  <c:v>226.99524986977332</c:v>
                </c:pt>
                <c:pt idx="298">
                  <c:v>234.7357813929452</c:v>
                </c:pt>
                <c:pt idx="299">
                  <c:v>242.40481012316826</c:v>
                </c:pt>
                <c:pt idx="300">
                  <c:v>250.00000000000006</c:v>
                </c:pt>
                <c:pt idx="301">
                  <c:v>257.5190374550271</c:v>
                </c:pt>
                <c:pt idx="302">
                  <c:v>264.95963211660234</c:v>
                </c:pt>
                <c:pt idx="303">
                  <c:v>272.3195175075133</c:v>
                </c:pt>
                <c:pt idx="304">
                  <c:v>279.59645173537314</c:v>
                </c:pt>
                <c:pt idx="305">
                  <c:v>286.78821817552301</c:v>
                </c:pt>
                <c:pt idx="306">
                  <c:v>293.89262614623647</c:v>
                </c:pt>
                <c:pt idx="307">
                  <c:v>300.90751157602398</c:v>
                </c:pt>
                <c:pt idx="308">
                  <c:v>307.83073766282928</c:v>
                </c:pt>
                <c:pt idx="309">
                  <c:v>314.66019552491878</c:v>
                </c:pt>
                <c:pt idx="310">
                  <c:v>321.39380484326961</c:v>
                </c:pt>
                <c:pt idx="311">
                  <c:v>328.02951449525352</c:v>
                </c:pt>
                <c:pt idx="312">
                  <c:v>334.56530317942889</c:v>
                </c:pt>
                <c:pt idx="313">
                  <c:v>340.99918003124901</c:v>
                </c:pt>
                <c:pt idx="314">
                  <c:v>347.32918522949831</c:v>
                </c:pt>
                <c:pt idx="315">
                  <c:v>353.55339059327366</c:v>
                </c:pt>
                <c:pt idx="316">
                  <c:v>359.66990016932544</c:v>
                </c:pt>
                <c:pt idx="317">
                  <c:v>365.67685080958535</c:v>
                </c:pt>
                <c:pt idx="318">
                  <c:v>371.5724127386971</c:v>
                </c:pt>
                <c:pt idx="319">
                  <c:v>377.35479011138597</c:v>
                </c:pt>
                <c:pt idx="320">
                  <c:v>383.02222155948891</c:v>
                </c:pt>
                <c:pt idx="321">
                  <c:v>388.57298072848528</c:v>
                </c:pt>
                <c:pt idx="322">
                  <c:v>394.00537680336078</c:v>
                </c:pt>
                <c:pt idx="323">
                  <c:v>399.31775502364644</c:v>
                </c:pt>
                <c:pt idx="324">
                  <c:v>404.50849718747367</c:v>
                </c:pt>
                <c:pt idx="325">
                  <c:v>409.57602214449577</c:v>
                </c:pt>
                <c:pt idx="326">
                  <c:v>414.51878627752069</c:v>
                </c:pt>
                <c:pt idx="327">
                  <c:v>419.33528397271203</c:v>
                </c:pt>
                <c:pt idx="328">
                  <c:v>424.02404807821267</c:v>
                </c:pt>
                <c:pt idx="329">
                  <c:v>428.58365035105606</c:v>
                </c:pt>
                <c:pt idx="330">
                  <c:v>433.01270189221918</c:v>
                </c:pt>
                <c:pt idx="331">
                  <c:v>437.30985356969791</c:v>
                </c:pt>
                <c:pt idx="332">
                  <c:v>441.47379642946345</c:v>
                </c:pt>
                <c:pt idx="333">
                  <c:v>445.50326209418387</c:v>
                </c:pt>
                <c:pt idx="334">
                  <c:v>449.39702314958356</c:v>
                </c:pt>
                <c:pt idx="335">
                  <c:v>453.15389351832488</c:v>
                </c:pt>
                <c:pt idx="336">
                  <c:v>456.77272882130046</c:v>
                </c:pt>
                <c:pt idx="337">
                  <c:v>460.25242672621994</c:v>
                </c:pt>
                <c:pt idx="338">
                  <c:v>463.59192728339366</c:v>
                </c:pt>
                <c:pt idx="339">
                  <c:v>466.79021324860076</c:v>
                </c:pt>
                <c:pt idx="340">
                  <c:v>469.84631039295419</c:v>
                </c:pt>
                <c:pt idx="341">
                  <c:v>472.75928779965824</c:v>
                </c:pt>
                <c:pt idx="342">
                  <c:v>475.52825814757676</c:v>
                </c:pt>
                <c:pt idx="343">
                  <c:v>478.15237798151782</c:v>
                </c:pt>
                <c:pt idx="344">
                  <c:v>480.63084796915933</c:v>
                </c:pt>
                <c:pt idx="345">
                  <c:v>482.96291314453418</c:v>
                </c:pt>
                <c:pt idx="346">
                  <c:v>485.14786313799823</c:v>
                </c:pt>
                <c:pt idx="347">
                  <c:v>487.18503239261759</c:v>
                </c:pt>
                <c:pt idx="348">
                  <c:v>489.07380036690279</c:v>
                </c:pt>
                <c:pt idx="349">
                  <c:v>490.81359172383196</c:v>
                </c:pt>
                <c:pt idx="350">
                  <c:v>492.40387650610393</c:v>
                </c:pt>
                <c:pt idx="351">
                  <c:v>493.84417029756884</c:v>
                </c:pt>
                <c:pt idx="352">
                  <c:v>495.13403437078512</c:v>
                </c:pt>
                <c:pt idx="353">
                  <c:v>496.27307582066101</c:v>
                </c:pt>
                <c:pt idx="354">
                  <c:v>497.26094768413662</c:v>
                </c:pt>
                <c:pt idx="355">
                  <c:v>498.09734904587276</c:v>
                </c:pt>
                <c:pt idx="356">
                  <c:v>498.78202512991214</c:v>
                </c:pt>
                <c:pt idx="357">
                  <c:v>499.3147673772869</c:v>
                </c:pt>
                <c:pt idx="358">
                  <c:v>499.6954135095479</c:v>
                </c:pt>
                <c:pt idx="359">
                  <c:v>499.92384757819565</c:v>
                </c:pt>
                <c:pt idx="360">
                  <c:v>500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7D5-4879-B749-AC6AAB384502}"/>
            </c:ext>
          </c:extLst>
        </c:ser>
        <c:ser>
          <c:idx val="1"/>
          <c:order val="1"/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Aufsicht!$S$10:$S$370</c:f>
              <c:numCache>
                <c:formatCode>General</c:formatCode>
                <c:ptCount val="361"/>
                <c:pt idx="0">
                  <c:v>-148</c:v>
                </c:pt>
                <c:pt idx="1">
                  <c:v>-142.76427806881495</c:v>
                </c:pt>
                <c:pt idx="2">
                  <c:v>-137.53015098924971</c:v>
                </c:pt>
                <c:pt idx="3">
                  <c:v>-132.29921312711684</c:v>
                </c:pt>
                <c:pt idx="4">
                  <c:v>-127.07305787676241</c:v>
                </c:pt>
                <c:pt idx="5">
                  <c:v>-121.85327717570254</c:v>
                </c:pt>
                <c:pt idx="6">
                  <c:v>-116.64146101970397</c:v>
                </c:pt>
                <c:pt idx="7">
                  <c:v>-111.43919697845575</c:v>
                </c:pt>
                <c:pt idx="8">
                  <c:v>-106.24806971198038</c:v>
                </c:pt>
                <c:pt idx="9">
                  <c:v>-101.06966048793075</c:v>
                </c:pt>
                <c:pt idx="10">
                  <c:v>-95.905546699920905</c:v>
                </c:pt>
                <c:pt idx="11">
                  <c:v>-90.757301387036563</c:v>
                </c:pt>
                <c:pt idx="12">
                  <c:v>-85.626492754672199</c:v>
                </c:pt>
                <c:pt idx="13">
                  <c:v>-80.514683696840493</c:v>
                </c:pt>
                <c:pt idx="14">
                  <c:v>-75.423431320099681</c:v>
                </c:pt>
                <c:pt idx="15">
                  <c:v>-70.354286469243775</c:v>
                </c:pt>
                <c:pt idx="16">
                  <c:v>-65.308793254900252</c:v>
                </c:pt>
                <c:pt idx="17">
                  <c:v>-60.288488583178975</c:v>
                </c:pt>
                <c:pt idx="18">
                  <c:v>-55.294901687515775</c:v>
                </c:pt>
                <c:pt idx="19">
                  <c:v>-50.329553662853002</c:v>
                </c:pt>
                <c:pt idx="20">
                  <c:v>-45.393957002299388</c:v>
                </c:pt>
                <c:pt idx="21">
                  <c:v>-40.489615136409924</c:v>
                </c:pt>
                <c:pt idx="22">
                  <c:v>-35.618021975226398</c:v>
                </c:pt>
                <c:pt idx="23">
                  <c:v>-30.780661453217888</c:v>
                </c:pt>
                <c:pt idx="24">
                  <c:v>-25.979007077259951</c:v>
                </c:pt>
                <c:pt idx="25">
                  <c:v>-21.214521477790171</c:v>
                </c:pt>
                <c:pt idx="26">
                  <c:v>-16.488655963276784</c:v>
                </c:pt>
                <c:pt idx="27">
                  <c:v>-11.802850078135975</c:v>
                </c:pt>
                <c:pt idx="28">
                  <c:v>-7.1585311642327554</c:v>
                </c:pt>
                <c:pt idx="29">
                  <c:v>-2.5571139260988787</c:v>
                </c:pt>
                <c:pt idx="30">
                  <c:v>1.9999999999999716</c:v>
                </c:pt>
                <c:pt idx="31">
                  <c:v>6.5114224730162391</c:v>
                </c:pt>
                <c:pt idx="32">
                  <c:v>10.975779269961464</c:v>
                </c:pt>
                <c:pt idx="33">
                  <c:v>15.391710504508126</c:v>
                </c:pt>
                <c:pt idx="34">
                  <c:v>19.757871041224064</c:v>
                </c:pt>
                <c:pt idx="35">
                  <c:v>24.072930905313825</c:v>
                </c:pt>
                <c:pt idx="36">
                  <c:v>28.335575687741937</c:v>
                </c:pt>
                <c:pt idx="37">
                  <c:v>32.544506945614472</c:v>
                </c:pt>
                <c:pt idx="38">
                  <c:v>36.698442597697465</c:v>
                </c:pt>
                <c:pt idx="39">
                  <c:v>40.796117314951204</c:v>
                </c:pt>
                <c:pt idx="40">
                  <c:v>44.836282905961781</c:v>
                </c:pt>
                <c:pt idx="41">
                  <c:v>48.817708697152142</c:v>
                </c:pt>
                <c:pt idx="42">
                  <c:v>52.739181907657468</c:v>
                </c:pt>
                <c:pt idx="43">
                  <c:v>56.599508018749532</c:v>
                </c:pt>
                <c:pt idx="44">
                  <c:v>60.397511137699183</c:v>
                </c:pt>
                <c:pt idx="45">
                  <c:v>64.132034355964237</c:v>
                </c:pt>
                <c:pt idx="46">
                  <c:v>67.801940101595335</c:v>
                </c:pt>
                <c:pt idx="47">
                  <c:v>71.406110485751128</c:v>
                </c:pt>
                <c:pt idx="48">
                  <c:v>74.943447643218235</c:v>
                </c:pt>
                <c:pt idx="49">
                  <c:v>78.412874066831591</c:v>
                </c:pt>
                <c:pt idx="50">
                  <c:v>81.81333293569341</c:v>
                </c:pt>
                <c:pt idx="51">
                  <c:v>85.143788437091246</c:v>
                </c:pt>
                <c:pt idx="52">
                  <c:v>88.403226082016602</c:v>
                </c:pt>
                <c:pt idx="53">
                  <c:v>91.590653014187836</c:v>
                </c:pt>
                <c:pt idx="54">
                  <c:v>94.705098312484239</c:v>
                </c:pt>
                <c:pt idx="55">
                  <c:v>97.745613286697534</c:v>
                </c:pt>
                <c:pt idx="56">
                  <c:v>100.71127176651251</c:v>
                </c:pt>
                <c:pt idx="57">
                  <c:v>103.60117038362719</c:v>
                </c:pt>
                <c:pt idx="58">
                  <c:v>106.41442884692779</c:v>
                </c:pt>
                <c:pt idx="59">
                  <c:v>109.15019021063364</c:v>
                </c:pt>
                <c:pt idx="60">
                  <c:v>111.8076211353316</c:v>
                </c:pt>
                <c:pt idx="61">
                  <c:v>114.38591214181872</c:v>
                </c:pt>
                <c:pt idx="62">
                  <c:v>116.88427785767806</c:v>
                </c:pt>
                <c:pt idx="63">
                  <c:v>119.30195725651032</c:v>
                </c:pt>
                <c:pt idx="64">
                  <c:v>121.63821388975009</c:v>
                </c:pt>
                <c:pt idx="65">
                  <c:v>123.89233611099496</c:v>
                </c:pt>
                <c:pt idx="66">
                  <c:v>126.06363729278024</c:v>
                </c:pt>
                <c:pt idx="67">
                  <c:v>128.15145603573205</c:v>
                </c:pt>
                <c:pt idx="68">
                  <c:v>130.15515637003625</c:v>
                </c:pt>
                <c:pt idx="69">
                  <c:v>132.07412794916053</c:v>
                </c:pt>
                <c:pt idx="70">
                  <c:v>133.90778623577251</c:v>
                </c:pt>
                <c:pt idx="71">
                  <c:v>135.655572679795</c:v>
                </c:pt>
                <c:pt idx="72">
                  <c:v>137.31695488854604</c:v>
                </c:pt>
                <c:pt idx="73">
                  <c:v>138.89142678891062</c:v>
                </c:pt>
                <c:pt idx="74">
                  <c:v>140.37850878149567</c:v>
                </c:pt>
                <c:pt idx="75">
                  <c:v>141.77774788672048</c:v>
                </c:pt>
                <c:pt idx="76">
                  <c:v>143.08871788279896</c:v>
                </c:pt>
                <c:pt idx="77">
                  <c:v>144.31101943557059</c:v>
                </c:pt>
                <c:pt idx="78">
                  <c:v>145.44428022014165</c:v>
                </c:pt>
                <c:pt idx="79">
                  <c:v>146.48815503429921</c:v>
                </c:pt>
                <c:pt idx="80">
                  <c:v>147.44232590366238</c:v>
                </c:pt>
                <c:pt idx="81">
                  <c:v>148.30650217854134</c:v>
                </c:pt>
                <c:pt idx="82">
                  <c:v>149.08042062247108</c:v>
                </c:pt>
                <c:pt idx="83">
                  <c:v>149.76384549239657</c:v>
                </c:pt>
                <c:pt idx="84">
                  <c:v>150.35656861048199</c:v>
                </c:pt>
                <c:pt idx="85">
                  <c:v>150.85840942752367</c:v>
                </c:pt>
                <c:pt idx="86">
                  <c:v>151.26921507794725</c:v>
                </c:pt>
                <c:pt idx="87">
                  <c:v>151.58886042637215</c:v>
                </c:pt>
                <c:pt idx="88">
                  <c:v>151.81724810572871</c:v>
                </c:pt>
                <c:pt idx="89">
                  <c:v>151.95430854691739</c:v>
                </c:pt>
                <c:pt idx="90">
                  <c:v>152</c:v>
                </c:pt>
                <c:pt idx="91">
                  <c:v>151.95430854691739</c:v>
                </c:pt>
                <c:pt idx="92">
                  <c:v>151.81724810572871</c:v>
                </c:pt>
                <c:pt idx="93">
                  <c:v>151.58886042637215</c:v>
                </c:pt>
                <c:pt idx="94">
                  <c:v>151.26921507794725</c:v>
                </c:pt>
                <c:pt idx="95">
                  <c:v>150.85840942752367</c:v>
                </c:pt>
                <c:pt idx="96">
                  <c:v>150.35656861048204</c:v>
                </c:pt>
                <c:pt idx="97">
                  <c:v>149.76384549239663</c:v>
                </c:pt>
                <c:pt idx="98">
                  <c:v>149.08042062247108</c:v>
                </c:pt>
                <c:pt idx="99">
                  <c:v>148.30650217854128</c:v>
                </c:pt>
                <c:pt idx="100">
                  <c:v>147.44232590366238</c:v>
                </c:pt>
                <c:pt idx="101">
                  <c:v>146.48815503429921</c:v>
                </c:pt>
                <c:pt idx="102">
                  <c:v>145.44428022014171</c:v>
                </c:pt>
                <c:pt idx="103">
                  <c:v>144.31101943557059</c:v>
                </c:pt>
                <c:pt idx="104">
                  <c:v>143.08871788279896</c:v>
                </c:pt>
                <c:pt idx="105">
                  <c:v>141.77774788672048</c:v>
                </c:pt>
                <c:pt idx="106">
                  <c:v>140.37850878149567</c:v>
                </c:pt>
                <c:pt idx="107">
                  <c:v>138.89142678891068</c:v>
                </c:pt>
                <c:pt idx="108">
                  <c:v>137.31695488854609</c:v>
                </c:pt>
                <c:pt idx="109">
                  <c:v>135.65557267979506</c:v>
                </c:pt>
                <c:pt idx="110">
                  <c:v>133.90778623577251</c:v>
                </c:pt>
                <c:pt idx="111">
                  <c:v>132.07412794916053</c:v>
                </c:pt>
                <c:pt idx="112">
                  <c:v>130.15515637003625</c:v>
                </c:pt>
                <c:pt idx="113">
                  <c:v>128.15145603573211</c:v>
                </c:pt>
                <c:pt idx="114">
                  <c:v>126.0636372927803</c:v>
                </c:pt>
                <c:pt idx="115">
                  <c:v>123.89233611099502</c:v>
                </c:pt>
                <c:pt idx="116">
                  <c:v>121.63821388975009</c:v>
                </c:pt>
                <c:pt idx="117">
                  <c:v>119.30195725651038</c:v>
                </c:pt>
                <c:pt idx="118">
                  <c:v>116.88427785767811</c:v>
                </c:pt>
                <c:pt idx="119">
                  <c:v>114.38591214181878</c:v>
                </c:pt>
                <c:pt idx="120">
                  <c:v>111.8076211353316</c:v>
                </c:pt>
                <c:pt idx="121">
                  <c:v>109.1501902106337</c:v>
                </c:pt>
                <c:pt idx="122">
                  <c:v>106.41442884692782</c:v>
                </c:pt>
                <c:pt idx="123">
                  <c:v>103.60117038362719</c:v>
                </c:pt>
                <c:pt idx="124">
                  <c:v>100.71127176651251</c:v>
                </c:pt>
                <c:pt idx="125">
                  <c:v>97.745613286697619</c:v>
                </c:pt>
                <c:pt idx="126">
                  <c:v>94.705098312484239</c:v>
                </c:pt>
                <c:pt idx="127">
                  <c:v>91.590653014187808</c:v>
                </c:pt>
                <c:pt idx="128">
                  <c:v>88.403226082016602</c:v>
                </c:pt>
                <c:pt idx="129">
                  <c:v>85.143788437091303</c:v>
                </c:pt>
                <c:pt idx="130">
                  <c:v>81.81333293569341</c:v>
                </c:pt>
                <c:pt idx="131">
                  <c:v>78.412874066831534</c:v>
                </c:pt>
                <c:pt idx="132">
                  <c:v>74.943447643218263</c:v>
                </c:pt>
                <c:pt idx="133">
                  <c:v>71.406110485751185</c:v>
                </c:pt>
                <c:pt idx="134">
                  <c:v>67.80194010159542</c:v>
                </c:pt>
                <c:pt idx="135">
                  <c:v>64.132034355964265</c:v>
                </c:pt>
                <c:pt idx="136">
                  <c:v>60.397511137699155</c:v>
                </c:pt>
                <c:pt idx="137">
                  <c:v>56.599508018749589</c:v>
                </c:pt>
                <c:pt idx="138">
                  <c:v>52.739181907657496</c:v>
                </c:pt>
                <c:pt idx="139">
                  <c:v>48.81770869715217</c:v>
                </c:pt>
                <c:pt idx="140">
                  <c:v>44.836282905961838</c:v>
                </c:pt>
                <c:pt idx="141">
                  <c:v>40.796117314951317</c:v>
                </c:pt>
                <c:pt idx="142">
                  <c:v>36.698442597697522</c:v>
                </c:pt>
                <c:pt idx="143">
                  <c:v>32.544506945614444</c:v>
                </c:pt>
                <c:pt idx="144">
                  <c:v>28.335575687741965</c:v>
                </c:pt>
                <c:pt idx="145">
                  <c:v>24.07293090531391</c:v>
                </c:pt>
                <c:pt idx="146">
                  <c:v>19.757871041224064</c:v>
                </c:pt>
                <c:pt idx="147">
                  <c:v>15.391710504508097</c:v>
                </c:pt>
                <c:pt idx="148">
                  <c:v>10.975779269961464</c:v>
                </c:pt>
                <c:pt idx="149">
                  <c:v>6.5114224730163244</c:v>
                </c:pt>
                <c:pt idx="150">
                  <c:v>1.9999999999999716</c:v>
                </c:pt>
                <c:pt idx="151">
                  <c:v>-2.5571139260988502</c:v>
                </c:pt>
                <c:pt idx="152">
                  <c:v>-7.1585311642326701</c:v>
                </c:pt>
                <c:pt idx="153">
                  <c:v>-11.802850078135947</c:v>
                </c:pt>
                <c:pt idx="154">
                  <c:v>-16.488655963276813</c:v>
                </c:pt>
                <c:pt idx="155">
                  <c:v>-21.214521477790157</c:v>
                </c:pt>
                <c:pt idx="156">
                  <c:v>-25.979007077259865</c:v>
                </c:pt>
                <c:pt idx="157">
                  <c:v>-30.780661453217746</c:v>
                </c:pt>
                <c:pt idx="158">
                  <c:v>-35.618021975226327</c:v>
                </c:pt>
                <c:pt idx="159">
                  <c:v>-40.489615136409938</c:v>
                </c:pt>
                <c:pt idx="160">
                  <c:v>-45.393957002299331</c:v>
                </c:pt>
                <c:pt idx="161">
                  <c:v>-50.329553662852888</c:v>
                </c:pt>
                <c:pt idx="162">
                  <c:v>-55.294901687515747</c:v>
                </c:pt>
                <c:pt idx="163">
                  <c:v>-60.288488583178889</c:v>
                </c:pt>
                <c:pt idx="164">
                  <c:v>-65.308793254900095</c:v>
                </c:pt>
                <c:pt idx="165">
                  <c:v>-70.354286469243689</c:v>
                </c:pt>
                <c:pt idx="166">
                  <c:v>-75.423431320099681</c:v>
                </c:pt>
                <c:pt idx="167">
                  <c:v>-80.514683696840564</c:v>
                </c:pt>
                <c:pt idx="168">
                  <c:v>-85.626492754672199</c:v>
                </c:pt>
                <c:pt idx="169">
                  <c:v>-90.757301387036506</c:v>
                </c:pt>
                <c:pt idx="170">
                  <c:v>-95.905546699920919</c:v>
                </c:pt>
                <c:pt idx="171">
                  <c:v>-101.0696604879307</c:v>
                </c:pt>
                <c:pt idx="172">
                  <c:v>-106.24806971198028</c:v>
                </c:pt>
                <c:pt idx="173">
                  <c:v>-111.43919697845573</c:v>
                </c:pt>
                <c:pt idx="174">
                  <c:v>-116.64146101970388</c:v>
                </c:pt>
                <c:pt idx="175">
                  <c:v>-121.8532771757024</c:v>
                </c:pt>
                <c:pt idx="176">
                  <c:v>-127.07305787676233</c:v>
                </c:pt>
                <c:pt idx="177">
                  <c:v>-132.29921312711684</c:v>
                </c:pt>
                <c:pt idx="178">
                  <c:v>-137.53015098924979</c:v>
                </c:pt>
                <c:pt idx="179">
                  <c:v>-142.76427806881497</c:v>
                </c:pt>
                <c:pt idx="180">
                  <c:v>-147.99999999999997</c:v>
                </c:pt>
                <c:pt idx="181">
                  <c:v>-153.23572193118497</c:v>
                </c:pt>
                <c:pt idx="182">
                  <c:v>-158.46984901075027</c:v>
                </c:pt>
                <c:pt idx="183">
                  <c:v>-163.70078687288307</c:v>
                </c:pt>
                <c:pt idx="184">
                  <c:v>-168.92694212323744</c:v>
                </c:pt>
                <c:pt idx="185">
                  <c:v>-174.1467228242974</c:v>
                </c:pt>
                <c:pt idx="186">
                  <c:v>-179.35853898029592</c:v>
                </c:pt>
                <c:pt idx="187">
                  <c:v>-184.56080302154433</c:v>
                </c:pt>
                <c:pt idx="188">
                  <c:v>-189.75193028801965</c:v>
                </c:pt>
                <c:pt idx="189">
                  <c:v>-194.93033951206922</c:v>
                </c:pt>
                <c:pt idx="190">
                  <c:v>-200.09445330007912</c:v>
                </c:pt>
                <c:pt idx="191">
                  <c:v>-205.24269861296341</c:v>
                </c:pt>
                <c:pt idx="192">
                  <c:v>-210.37350724532772</c:v>
                </c:pt>
                <c:pt idx="193">
                  <c:v>-215.48531630315949</c:v>
                </c:pt>
                <c:pt idx="194">
                  <c:v>-220.57656867990025</c:v>
                </c:pt>
                <c:pt idx="195">
                  <c:v>-225.6457135307561</c:v>
                </c:pt>
                <c:pt idx="196">
                  <c:v>-230.69120674509969</c:v>
                </c:pt>
                <c:pt idx="197">
                  <c:v>-235.71151141682091</c:v>
                </c:pt>
                <c:pt idx="198">
                  <c:v>-240.70509831248432</c:v>
                </c:pt>
                <c:pt idx="199">
                  <c:v>-245.67044633714704</c:v>
                </c:pt>
                <c:pt idx="200">
                  <c:v>-250.6060429977006</c:v>
                </c:pt>
                <c:pt idx="201">
                  <c:v>-255.51038486359013</c:v>
                </c:pt>
                <c:pt idx="202">
                  <c:v>-260.38197802477362</c:v>
                </c:pt>
                <c:pt idx="203">
                  <c:v>-265.21933854678207</c:v>
                </c:pt>
                <c:pt idx="204">
                  <c:v>-270.02099292273994</c:v>
                </c:pt>
                <c:pt idx="205">
                  <c:v>-274.78547852220981</c:v>
                </c:pt>
                <c:pt idx="206">
                  <c:v>-279.51134403672313</c:v>
                </c:pt>
                <c:pt idx="207">
                  <c:v>-284.19714992186391</c:v>
                </c:pt>
                <c:pt idx="208">
                  <c:v>-288.84146883576727</c:v>
                </c:pt>
                <c:pt idx="209">
                  <c:v>-293.44288607390109</c:v>
                </c:pt>
                <c:pt idx="210">
                  <c:v>-298</c:v>
                </c:pt>
                <c:pt idx="211">
                  <c:v>-302.51142247301624</c:v>
                </c:pt>
                <c:pt idx="212">
                  <c:v>-306.97577926996144</c:v>
                </c:pt>
                <c:pt idx="213">
                  <c:v>-311.39171050450813</c:v>
                </c:pt>
                <c:pt idx="214">
                  <c:v>-315.75787104122401</c:v>
                </c:pt>
                <c:pt idx="215">
                  <c:v>-320.07293090531374</c:v>
                </c:pt>
                <c:pt idx="216">
                  <c:v>-324.33557568774188</c:v>
                </c:pt>
                <c:pt idx="217">
                  <c:v>-328.54450694561444</c:v>
                </c:pt>
                <c:pt idx="218">
                  <c:v>-332.69844259769735</c:v>
                </c:pt>
                <c:pt idx="219">
                  <c:v>-336.79611731495129</c:v>
                </c:pt>
                <c:pt idx="220">
                  <c:v>-340.83628290596175</c:v>
                </c:pt>
                <c:pt idx="221">
                  <c:v>-344.81770869715223</c:v>
                </c:pt>
                <c:pt idx="222">
                  <c:v>-348.73918190765744</c:v>
                </c:pt>
                <c:pt idx="223">
                  <c:v>-352.59950801874948</c:v>
                </c:pt>
                <c:pt idx="224">
                  <c:v>-356.39751113769921</c:v>
                </c:pt>
                <c:pt idx="225">
                  <c:v>-360.13203435596427</c:v>
                </c:pt>
                <c:pt idx="226">
                  <c:v>-363.80194010159528</c:v>
                </c:pt>
                <c:pt idx="227">
                  <c:v>-367.40611048575101</c:v>
                </c:pt>
                <c:pt idx="228">
                  <c:v>-370.94344764321818</c:v>
                </c:pt>
                <c:pt idx="229">
                  <c:v>-374.41287406683148</c:v>
                </c:pt>
                <c:pt idx="230">
                  <c:v>-377.81333293569338</c:v>
                </c:pt>
                <c:pt idx="231">
                  <c:v>-381.1437884370913</c:v>
                </c:pt>
                <c:pt idx="232">
                  <c:v>-384.40322608201666</c:v>
                </c:pt>
                <c:pt idx="233">
                  <c:v>-387.59065301418786</c:v>
                </c:pt>
                <c:pt idx="234">
                  <c:v>-390.70509831248421</c:v>
                </c:pt>
                <c:pt idx="235">
                  <c:v>-393.74561328669745</c:v>
                </c:pt>
                <c:pt idx="236">
                  <c:v>-396.71127176651243</c:v>
                </c:pt>
                <c:pt idx="237">
                  <c:v>-399.60117038362722</c:v>
                </c:pt>
                <c:pt idx="238">
                  <c:v>-402.41442884692776</c:v>
                </c:pt>
                <c:pt idx="239">
                  <c:v>-405.15019021063364</c:v>
                </c:pt>
                <c:pt idx="240">
                  <c:v>-407.80762113533149</c:v>
                </c:pt>
                <c:pt idx="241">
                  <c:v>-410.38591214181878</c:v>
                </c:pt>
                <c:pt idx="242">
                  <c:v>-412.88427785767811</c:v>
                </c:pt>
                <c:pt idx="243">
                  <c:v>-415.30195725651032</c:v>
                </c:pt>
                <c:pt idx="244">
                  <c:v>-417.63821388975003</c:v>
                </c:pt>
                <c:pt idx="245">
                  <c:v>-419.8923361109949</c:v>
                </c:pt>
                <c:pt idx="246">
                  <c:v>-422.0636372927803</c:v>
                </c:pt>
                <c:pt idx="247">
                  <c:v>-424.15145603573205</c:v>
                </c:pt>
                <c:pt idx="248">
                  <c:v>-426.1551563700362</c:v>
                </c:pt>
                <c:pt idx="249">
                  <c:v>-428.07412794916047</c:v>
                </c:pt>
                <c:pt idx="250">
                  <c:v>-429.90778623577245</c:v>
                </c:pt>
                <c:pt idx="251">
                  <c:v>-431.65557267979506</c:v>
                </c:pt>
                <c:pt idx="252">
                  <c:v>-433.31695488854604</c:v>
                </c:pt>
                <c:pt idx="253">
                  <c:v>-434.89142678891062</c:v>
                </c:pt>
                <c:pt idx="254">
                  <c:v>-436.37850878149573</c:v>
                </c:pt>
                <c:pt idx="255">
                  <c:v>-437.77774788672048</c:v>
                </c:pt>
                <c:pt idx="256">
                  <c:v>-439.08871788279896</c:v>
                </c:pt>
                <c:pt idx="257">
                  <c:v>-440.31101943557053</c:v>
                </c:pt>
                <c:pt idx="258">
                  <c:v>-441.44428022014165</c:v>
                </c:pt>
                <c:pt idx="259">
                  <c:v>-442.48815503429915</c:v>
                </c:pt>
                <c:pt idx="260">
                  <c:v>-443.44232590366238</c:v>
                </c:pt>
                <c:pt idx="261">
                  <c:v>-444.30650217854128</c:v>
                </c:pt>
                <c:pt idx="262">
                  <c:v>-445.08042062247108</c:v>
                </c:pt>
                <c:pt idx="263">
                  <c:v>-445.76384549239663</c:v>
                </c:pt>
                <c:pt idx="264">
                  <c:v>-446.35656861048204</c:v>
                </c:pt>
                <c:pt idx="265">
                  <c:v>-446.85840942752367</c:v>
                </c:pt>
                <c:pt idx="266">
                  <c:v>-447.26921507794725</c:v>
                </c:pt>
                <c:pt idx="267">
                  <c:v>-447.58886042637215</c:v>
                </c:pt>
                <c:pt idx="268">
                  <c:v>-447.81724810572871</c:v>
                </c:pt>
                <c:pt idx="269">
                  <c:v>-447.95430854691739</c:v>
                </c:pt>
                <c:pt idx="270">
                  <c:v>-448</c:v>
                </c:pt>
                <c:pt idx="271">
                  <c:v>-447.95430854691739</c:v>
                </c:pt>
                <c:pt idx="272">
                  <c:v>-447.81724810572871</c:v>
                </c:pt>
                <c:pt idx="273">
                  <c:v>-447.58886042637215</c:v>
                </c:pt>
                <c:pt idx="274">
                  <c:v>-447.26921507794731</c:v>
                </c:pt>
                <c:pt idx="275">
                  <c:v>-446.85840942752367</c:v>
                </c:pt>
                <c:pt idx="276">
                  <c:v>-446.35656861048204</c:v>
                </c:pt>
                <c:pt idx="277">
                  <c:v>-445.76384549239657</c:v>
                </c:pt>
                <c:pt idx="278">
                  <c:v>-445.08042062247108</c:v>
                </c:pt>
                <c:pt idx="279">
                  <c:v>-444.30650217854134</c:v>
                </c:pt>
                <c:pt idx="280">
                  <c:v>-443.44232590366244</c:v>
                </c:pt>
                <c:pt idx="281">
                  <c:v>-442.48815503429921</c:v>
                </c:pt>
                <c:pt idx="282">
                  <c:v>-441.44428022014176</c:v>
                </c:pt>
                <c:pt idx="283">
                  <c:v>-440.31101943557059</c:v>
                </c:pt>
                <c:pt idx="284">
                  <c:v>-439.08871788279896</c:v>
                </c:pt>
                <c:pt idx="285">
                  <c:v>-437.77774788672048</c:v>
                </c:pt>
                <c:pt idx="286">
                  <c:v>-436.37850878149561</c:v>
                </c:pt>
                <c:pt idx="287">
                  <c:v>-434.89142678891062</c:v>
                </c:pt>
                <c:pt idx="288">
                  <c:v>-433.31695488854609</c:v>
                </c:pt>
                <c:pt idx="289">
                  <c:v>-431.65557267979511</c:v>
                </c:pt>
                <c:pt idx="290">
                  <c:v>-429.90778623577256</c:v>
                </c:pt>
                <c:pt idx="291">
                  <c:v>-428.07412794916064</c:v>
                </c:pt>
                <c:pt idx="292">
                  <c:v>-426.15515637003625</c:v>
                </c:pt>
                <c:pt idx="293">
                  <c:v>-424.15145603573217</c:v>
                </c:pt>
                <c:pt idx="294">
                  <c:v>-422.06363729278024</c:v>
                </c:pt>
                <c:pt idx="295">
                  <c:v>-419.89233611099496</c:v>
                </c:pt>
                <c:pt idx="296">
                  <c:v>-417.63821388975009</c:v>
                </c:pt>
                <c:pt idx="297">
                  <c:v>-415.30195725651038</c:v>
                </c:pt>
                <c:pt idx="298">
                  <c:v>-412.88427785767811</c:v>
                </c:pt>
                <c:pt idx="299">
                  <c:v>-410.38591214181884</c:v>
                </c:pt>
                <c:pt idx="300">
                  <c:v>-407.8076211353316</c:v>
                </c:pt>
                <c:pt idx="301">
                  <c:v>-405.1501902106337</c:v>
                </c:pt>
                <c:pt idx="302">
                  <c:v>-402.41442884692788</c:v>
                </c:pt>
                <c:pt idx="303">
                  <c:v>-399.60117038362728</c:v>
                </c:pt>
                <c:pt idx="304">
                  <c:v>-396.7112717665126</c:v>
                </c:pt>
                <c:pt idx="305">
                  <c:v>-393.74561328669756</c:v>
                </c:pt>
                <c:pt idx="306">
                  <c:v>-390.70509831248427</c:v>
                </c:pt>
                <c:pt idx="307">
                  <c:v>-387.59065301418792</c:v>
                </c:pt>
                <c:pt idx="308">
                  <c:v>-384.40322608201654</c:v>
                </c:pt>
                <c:pt idx="309">
                  <c:v>-381.14378843709125</c:v>
                </c:pt>
                <c:pt idx="310">
                  <c:v>-377.81333293569344</c:v>
                </c:pt>
                <c:pt idx="311">
                  <c:v>-374.41287406683171</c:v>
                </c:pt>
                <c:pt idx="312">
                  <c:v>-370.94344764321841</c:v>
                </c:pt>
                <c:pt idx="313">
                  <c:v>-367.4061104857513</c:v>
                </c:pt>
                <c:pt idx="314">
                  <c:v>-363.80194010159551</c:v>
                </c:pt>
                <c:pt idx="315">
                  <c:v>-360.13203435596427</c:v>
                </c:pt>
                <c:pt idx="316">
                  <c:v>-356.39751113769927</c:v>
                </c:pt>
                <c:pt idx="317">
                  <c:v>-352.59950801874948</c:v>
                </c:pt>
                <c:pt idx="318">
                  <c:v>-348.73918190765744</c:v>
                </c:pt>
                <c:pt idx="319">
                  <c:v>-344.81770869715223</c:v>
                </c:pt>
                <c:pt idx="320">
                  <c:v>-340.83628290596187</c:v>
                </c:pt>
                <c:pt idx="321">
                  <c:v>-336.79611731495135</c:v>
                </c:pt>
                <c:pt idx="322">
                  <c:v>-332.69844259769764</c:v>
                </c:pt>
                <c:pt idx="323">
                  <c:v>-328.54450694561444</c:v>
                </c:pt>
                <c:pt idx="324">
                  <c:v>-324.33557568774199</c:v>
                </c:pt>
                <c:pt idx="325">
                  <c:v>-320.07293090531391</c:v>
                </c:pt>
                <c:pt idx="326">
                  <c:v>-315.75787104122423</c:v>
                </c:pt>
                <c:pt idx="327">
                  <c:v>-311.39171050450807</c:v>
                </c:pt>
                <c:pt idx="328">
                  <c:v>-306.97577926996178</c:v>
                </c:pt>
                <c:pt idx="329">
                  <c:v>-302.51142247301635</c:v>
                </c:pt>
                <c:pt idx="330">
                  <c:v>-298.00000000000011</c:v>
                </c:pt>
                <c:pt idx="331">
                  <c:v>-293.44288607390104</c:v>
                </c:pt>
                <c:pt idx="332">
                  <c:v>-288.84146883576727</c:v>
                </c:pt>
                <c:pt idx="333">
                  <c:v>-284.19714992186408</c:v>
                </c:pt>
                <c:pt idx="334">
                  <c:v>-279.51134403672313</c:v>
                </c:pt>
                <c:pt idx="335">
                  <c:v>-274.78547852220998</c:v>
                </c:pt>
                <c:pt idx="336">
                  <c:v>-270.02099292274005</c:v>
                </c:pt>
                <c:pt idx="337">
                  <c:v>-265.21933854678241</c:v>
                </c:pt>
                <c:pt idx="338">
                  <c:v>-260.38197802477373</c:v>
                </c:pt>
                <c:pt idx="339">
                  <c:v>-255.51038486359022</c:v>
                </c:pt>
                <c:pt idx="340">
                  <c:v>-250.60604299770057</c:v>
                </c:pt>
                <c:pt idx="341">
                  <c:v>-245.67044633714727</c:v>
                </c:pt>
                <c:pt idx="342">
                  <c:v>-240.70509831248427</c:v>
                </c:pt>
                <c:pt idx="343">
                  <c:v>-235.71151141682088</c:v>
                </c:pt>
                <c:pt idx="344">
                  <c:v>-230.69120674509992</c:v>
                </c:pt>
                <c:pt idx="345">
                  <c:v>-225.64571353075621</c:v>
                </c:pt>
                <c:pt idx="346">
                  <c:v>-220.57656867990036</c:v>
                </c:pt>
                <c:pt idx="347">
                  <c:v>-215.48531630315961</c:v>
                </c:pt>
                <c:pt idx="348">
                  <c:v>-210.37350724532797</c:v>
                </c:pt>
                <c:pt idx="349">
                  <c:v>-205.24269861296341</c:v>
                </c:pt>
                <c:pt idx="350">
                  <c:v>-200.09445330007938</c:v>
                </c:pt>
                <c:pt idx="351">
                  <c:v>-194.93033951206934</c:v>
                </c:pt>
                <c:pt idx="352">
                  <c:v>-189.75193028801976</c:v>
                </c:pt>
                <c:pt idx="353">
                  <c:v>-184.56080302154444</c:v>
                </c:pt>
                <c:pt idx="354">
                  <c:v>-179.35853898029603</c:v>
                </c:pt>
                <c:pt idx="355">
                  <c:v>-174.14672282429748</c:v>
                </c:pt>
                <c:pt idx="356">
                  <c:v>-168.92694212323744</c:v>
                </c:pt>
                <c:pt idx="357">
                  <c:v>-163.7007868728833</c:v>
                </c:pt>
                <c:pt idx="358">
                  <c:v>-158.46984901075024</c:v>
                </c:pt>
                <c:pt idx="359">
                  <c:v>-153.23572193118534</c:v>
                </c:pt>
                <c:pt idx="360">
                  <c:v>-148.00000000000009</c:v>
                </c:pt>
              </c:numCache>
            </c:numRef>
          </c:xVal>
          <c:yVal>
            <c:numRef>
              <c:f>Aufsicht!$T$10:$T$370</c:f>
              <c:numCache>
                <c:formatCode>General</c:formatCode>
                <c:ptCount val="361"/>
                <c:pt idx="0">
                  <c:v>300</c:v>
                </c:pt>
                <c:pt idx="1">
                  <c:v>299.95430854691739</c:v>
                </c:pt>
                <c:pt idx="2">
                  <c:v>299.81724810572871</c:v>
                </c:pt>
                <c:pt idx="3">
                  <c:v>299.58886042637215</c:v>
                </c:pt>
                <c:pt idx="4">
                  <c:v>299.26921507794725</c:v>
                </c:pt>
                <c:pt idx="5">
                  <c:v>298.85840942752367</c:v>
                </c:pt>
                <c:pt idx="6">
                  <c:v>298.35656861048199</c:v>
                </c:pt>
                <c:pt idx="7">
                  <c:v>297.76384549239657</c:v>
                </c:pt>
                <c:pt idx="8">
                  <c:v>297.08042062247108</c:v>
                </c:pt>
                <c:pt idx="9">
                  <c:v>296.30650217854134</c:v>
                </c:pt>
                <c:pt idx="10">
                  <c:v>295.44232590366238</c:v>
                </c:pt>
                <c:pt idx="11">
                  <c:v>294.48815503429921</c:v>
                </c:pt>
                <c:pt idx="12">
                  <c:v>293.44428022014171</c:v>
                </c:pt>
                <c:pt idx="13">
                  <c:v>292.31101943557059</c:v>
                </c:pt>
                <c:pt idx="14">
                  <c:v>291.08871788279896</c:v>
                </c:pt>
                <c:pt idx="15">
                  <c:v>289.77774788672048</c:v>
                </c:pt>
                <c:pt idx="16">
                  <c:v>288.37850878149567</c:v>
                </c:pt>
                <c:pt idx="17">
                  <c:v>286.89142678891062</c:v>
                </c:pt>
                <c:pt idx="18">
                  <c:v>285.31695488854604</c:v>
                </c:pt>
                <c:pt idx="19">
                  <c:v>283.65557267979506</c:v>
                </c:pt>
                <c:pt idx="20">
                  <c:v>281.90778623577251</c:v>
                </c:pt>
                <c:pt idx="21">
                  <c:v>280.07412794916053</c:v>
                </c:pt>
                <c:pt idx="22">
                  <c:v>278.15515637003625</c:v>
                </c:pt>
                <c:pt idx="23">
                  <c:v>276.15145603573211</c:v>
                </c:pt>
                <c:pt idx="24">
                  <c:v>274.06363729278024</c:v>
                </c:pt>
                <c:pt idx="25">
                  <c:v>271.89233611099496</c:v>
                </c:pt>
                <c:pt idx="26">
                  <c:v>269.63821388975009</c:v>
                </c:pt>
                <c:pt idx="27">
                  <c:v>267.30195725651038</c:v>
                </c:pt>
                <c:pt idx="28">
                  <c:v>264.88427785767811</c:v>
                </c:pt>
                <c:pt idx="29">
                  <c:v>262.38591214181872</c:v>
                </c:pt>
                <c:pt idx="30">
                  <c:v>259.8076211353316</c:v>
                </c:pt>
                <c:pt idx="31">
                  <c:v>257.1501902106337</c:v>
                </c:pt>
                <c:pt idx="32">
                  <c:v>254.41442884692779</c:v>
                </c:pt>
                <c:pt idx="33">
                  <c:v>251.60117038362722</c:v>
                </c:pt>
                <c:pt idx="34">
                  <c:v>248.71127176651248</c:v>
                </c:pt>
                <c:pt idx="35">
                  <c:v>245.74561328669753</c:v>
                </c:pt>
                <c:pt idx="36">
                  <c:v>242.70509831248424</c:v>
                </c:pt>
                <c:pt idx="37">
                  <c:v>239.59065301418784</c:v>
                </c:pt>
                <c:pt idx="38">
                  <c:v>236.4032260820166</c:v>
                </c:pt>
                <c:pt idx="39">
                  <c:v>233.14378843709127</c:v>
                </c:pt>
                <c:pt idx="40">
                  <c:v>229.81333293569341</c:v>
                </c:pt>
                <c:pt idx="41">
                  <c:v>226.41287406683165</c:v>
                </c:pt>
                <c:pt idx="42">
                  <c:v>222.94344764321826</c:v>
                </c:pt>
                <c:pt idx="43">
                  <c:v>219.40611048575119</c:v>
                </c:pt>
                <c:pt idx="44">
                  <c:v>215.80194010159536</c:v>
                </c:pt>
                <c:pt idx="45">
                  <c:v>212.13203435596427</c:v>
                </c:pt>
                <c:pt idx="46">
                  <c:v>208.39751113769921</c:v>
                </c:pt>
                <c:pt idx="47">
                  <c:v>204.59950801874953</c:v>
                </c:pt>
                <c:pt idx="48">
                  <c:v>200.73918190765747</c:v>
                </c:pt>
                <c:pt idx="49">
                  <c:v>196.81770869715217</c:v>
                </c:pt>
                <c:pt idx="50">
                  <c:v>192.83628290596181</c:v>
                </c:pt>
                <c:pt idx="51">
                  <c:v>188.79611731495126</c:v>
                </c:pt>
                <c:pt idx="52">
                  <c:v>184.69844259769749</c:v>
                </c:pt>
                <c:pt idx="53">
                  <c:v>180.5445069456145</c:v>
                </c:pt>
                <c:pt idx="54">
                  <c:v>176.33557568774194</c:v>
                </c:pt>
                <c:pt idx="55">
                  <c:v>172.07293090531385</c:v>
                </c:pt>
                <c:pt idx="56">
                  <c:v>167.75787104122404</c:v>
                </c:pt>
                <c:pt idx="57">
                  <c:v>163.39171050450815</c:v>
                </c:pt>
                <c:pt idx="58">
                  <c:v>158.97577926996146</c:v>
                </c:pt>
                <c:pt idx="59">
                  <c:v>154.51142247301632</c:v>
                </c:pt>
                <c:pt idx="60">
                  <c:v>150.00000000000003</c:v>
                </c:pt>
                <c:pt idx="61">
                  <c:v>145.44288607390112</c:v>
                </c:pt>
                <c:pt idx="62">
                  <c:v>140.84146883576724</c:v>
                </c:pt>
                <c:pt idx="63">
                  <c:v>136.19714992186405</c:v>
                </c:pt>
                <c:pt idx="64">
                  <c:v>131.51134403672324</c:v>
                </c:pt>
                <c:pt idx="65">
                  <c:v>126.78547852220983</c:v>
                </c:pt>
                <c:pt idx="66">
                  <c:v>122.02099292274006</c:v>
                </c:pt>
                <c:pt idx="67">
                  <c:v>117.21933854678218</c:v>
                </c:pt>
                <c:pt idx="68">
                  <c:v>112.38197802477359</c:v>
                </c:pt>
                <c:pt idx="69">
                  <c:v>107.51038486359012</c:v>
                </c:pt>
                <c:pt idx="70">
                  <c:v>102.60604299770064</c:v>
                </c:pt>
                <c:pt idx="71">
                  <c:v>97.670446337147027</c:v>
                </c:pt>
                <c:pt idx="72">
                  <c:v>92.705098312484239</c:v>
                </c:pt>
                <c:pt idx="73">
                  <c:v>87.711511416821025</c:v>
                </c:pt>
                <c:pt idx="74">
                  <c:v>82.691206745099748</c:v>
                </c:pt>
                <c:pt idx="75">
                  <c:v>77.645713530756225</c:v>
                </c:pt>
                <c:pt idx="76">
                  <c:v>72.576568679900376</c:v>
                </c:pt>
                <c:pt idx="77">
                  <c:v>67.485316303159479</c:v>
                </c:pt>
                <c:pt idx="78">
                  <c:v>62.373507245327836</c:v>
                </c:pt>
                <c:pt idx="79">
                  <c:v>57.242698612963473</c:v>
                </c:pt>
                <c:pt idx="80">
                  <c:v>52.094453300079124</c:v>
                </c:pt>
                <c:pt idx="81">
                  <c:v>46.930339512069274</c:v>
                </c:pt>
                <c:pt idx="82">
                  <c:v>41.751930288019707</c:v>
                </c:pt>
                <c:pt idx="83">
                  <c:v>36.560803021544245</c:v>
                </c:pt>
                <c:pt idx="84">
                  <c:v>31.358538980296036</c:v>
                </c:pt>
                <c:pt idx="85">
                  <c:v>26.146722824297441</c:v>
                </c:pt>
                <c:pt idx="86">
                  <c:v>20.926942123237637</c:v>
                </c:pt>
                <c:pt idx="87">
                  <c:v>15.700786872883191</c:v>
                </c:pt>
                <c:pt idx="88">
                  <c:v>10.469849010750323</c:v>
                </c:pt>
                <c:pt idx="89">
                  <c:v>5.2357219311850125</c:v>
                </c:pt>
                <c:pt idx="90">
                  <c:v>1.83772268236293E-14</c:v>
                </c:pt>
                <c:pt idx="91">
                  <c:v>-5.2357219311850427</c:v>
                </c:pt>
                <c:pt idx="92">
                  <c:v>-10.46984901075022</c:v>
                </c:pt>
                <c:pt idx="93">
                  <c:v>-15.700786872883086</c:v>
                </c:pt>
                <c:pt idx="94">
                  <c:v>-20.926942123237598</c:v>
                </c:pt>
                <c:pt idx="95">
                  <c:v>-26.14672282429747</c:v>
                </c:pt>
                <c:pt idx="96">
                  <c:v>-31.358538980296</c:v>
                </c:pt>
                <c:pt idx="97">
                  <c:v>-36.56080302154421</c:v>
                </c:pt>
                <c:pt idx="98">
                  <c:v>-41.751930288019608</c:v>
                </c:pt>
                <c:pt idx="99">
                  <c:v>-46.93033951206931</c:v>
                </c:pt>
                <c:pt idx="100">
                  <c:v>-52.094453300079088</c:v>
                </c:pt>
                <c:pt idx="101">
                  <c:v>-57.242698612963444</c:v>
                </c:pt>
                <c:pt idx="102">
                  <c:v>-62.373507245327737</c:v>
                </c:pt>
                <c:pt idx="103">
                  <c:v>-67.485316303159436</c:v>
                </c:pt>
                <c:pt idx="104">
                  <c:v>-72.576568679900333</c:v>
                </c:pt>
                <c:pt idx="105">
                  <c:v>-77.645713530756254</c:v>
                </c:pt>
                <c:pt idx="106">
                  <c:v>-82.69120674509972</c:v>
                </c:pt>
                <c:pt idx="107">
                  <c:v>-87.711511416820997</c:v>
                </c:pt>
                <c:pt idx="108">
                  <c:v>-92.705098312484196</c:v>
                </c:pt>
                <c:pt idx="109">
                  <c:v>-97.670446337146927</c:v>
                </c:pt>
                <c:pt idx="110">
                  <c:v>-102.60604299770061</c:v>
                </c:pt>
                <c:pt idx="111">
                  <c:v>-107.51038486359008</c:v>
                </c:pt>
                <c:pt idx="112">
                  <c:v>-112.38197802477362</c:v>
                </c:pt>
                <c:pt idx="113">
                  <c:v>-117.21933854678208</c:v>
                </c:pt>
                <c:pt idx="114">
                  <c:v>-122.02099292274001</c:v>
                </c:pt>
                <c:pt idx="115">
                  <c:v>-126.7854785222098</c:v>
                </c:pt>
                <c:pt idx="116">
                  <c:v>-131.51134403672324</c:v>
                </c:pt>
                <c:pt idx="117">
                  <c:v>-136.197149921864</c:v>
                </c:pt>
                <c:pt idx="118">
                  <c:v>-140.84146883576716</c:v>
                </c:pt>
                <c:pt idx="119">
                  <c:v>-145.44288607390109</c:v>
                </c:pt>
                <c:pt idx="120">
                  <c:v>-149.99999999999994</c:v>
                </c:pt>
                <c:pt idx="121">
                  <c:v>-154.51142247301627</c:v>
                </c:pt>
                <c:pt idx="122">
                  <c:v>-158.97577926996144</c:v>
                </c:pt>
                <c:pt idx="123">
                  <c:v>-163.39171050450813</c:v>
                </c:pt>
                <c:pt idx="124">
                  <c:v>-167.75787104122401</c:v>
                </c:pt>
                <c:pt idx="125">
                  <c:v>-172.07293090531374</c:v>
                </c:pt>
                <c:pt idx="126">
                  <c:v>-176.33557568774191</c:v>
                </c:pt>
                <c:pt idx="127">
                  <c:v>-180.5445069456145</c:v>
                </c:pt>
                <c:pt idx="128">
                  <c:v>-184.69844259769749</c:v>
                </c:pt>
                <c:pt idx="129">
                  <c:v>-188.79611731495118</c:v>
                </c:pt>
                <c:pt idx="130">
                  <c:v>-192.83628290596181</c:v>
                </c:pt>
                <c:pt idx="131">
                  <c:v>-196.81770869715226</c:v>
                </c:pt>
                <c:pt idx="132">
                  <c:v>-200.73918190765747</c:v>
                </c:pt>
                <c:pt idx="133">
                  <c:v>-204.5995080187495</c:v>
                </c:pt>
                <c:pt idx="134">
                  <c:v>-208.3975111376991</c:v>
                </c:pt>
                <c:pt idx="135">
                  <c:v>-212.13203435596424</c:v>
                </c:pt>
                <c:pt idx="136">
                  <c:v>-215.80194010159536</c:v>
                </c:pt>
                <c:pt idx="137">
                  <c:v>-219.40611048575113</c:v>
                </c:pt>
                <c:pt idx="138">
                  <c:v>-222.94344764321821</c:v>
                </c:pt>
                <c:pt idx="139">
                  <c:v>-226.41287406683159</c:v>
                </c:pt>
                <c:pt idx="140">
                  <c:v>-229.81333293569338</c:v>
                </c:pt>
                <c:pt idx="141">
                  <c:v>-233.14378843709122</c:v>
                </c:pt>
                <c:pt idx="142">
                  <c:v>-236.40322608201657</c:v>
                </c:pt>
                <c:pt idx="143">
                  <c:v>-239.59065301418789</c:v>
                </c:pt>
                <c:pt idx="144">
                  <c:v>-242.70509831248421</c:v>
                </c:pt>
                <c:pt idx="145">
                  <c:v>-245.74561328669748</c:v>
                </c:pt>
                <c:pt idx="146">
                  <c:v>-248.71127176651248</c:v>
                </c:pt>
                <c:pt idx="147">
                  <c:v>-251.60117038362725</c:v>
                </c:pt>
                <c:pt idx="148">
                  <c:v>-254.41442884692779</c:v>
                </c:pt>
                <c:pt idx="149">
                  <c:v>-257.15019021063364</c:v>
                </c:pt>
                <c:pt idx="150">
                  <c:v>-259.8076211353316</c:v>
                </c:pt>
                <c:pt idx="151">
                  <c:v>-262.38591214181872</c:v>
                </c:pt>
                <c:pt idx="152">
                  <c:v>-264.88427785767806</c:v>
                </c:pt>
                <c:pt idx="153">
                  <c:v>-267.30195725651032</c:v>
                </c:pt>
                <c:pt idx="154">
                  <c:v>-269.63821388975009</c:v>
                </c:pt>
                <c:pt idx="155">
                  <c:v>-271.89233611099496</c:v>
                </c:pt>
                <c:pt idx="156">
                  <c:v>-274.06363729278024</c:v>
                </c:pt>
                <c:pt idx="157">
                  <c:v>-276.15145603573205</c:v>
                </c:pt>
                <c:pt idx="158">
                  <c:v>-278.1551563700362</c:v>
                </c:pt>
                <c:pt idx="159">
                  <c:v>-280.07412794916053</c:v>
                </c:pt>
                <c:pt idx="160">
                  <c:v>-281.90778623577251</c:v>
                </c:pt>
                <c:pt idx="161">
                  <c:v>-283.655572679795</c:v>
                </c:pt>
                <c:pt idx="162">
                  <c:v>-285.31695488854604</c:v>
                </c:pt>
                <c:pt idx="163">
                  <c:v>-286.89142678891062</c:v>
                </c:pt>
                <c:pt idx="164">
                  <c:v>-288.37850878149561</c:v>
                </c:pt>
                <c:pt idx="165">
                  <c:v>-289.77774788672048</c:v>
                </c:pt>
                <c:pt idx="166">
                  <c:v>-291.08871788279896</c:v>
                </c:pt>
                <c:pt idx="167">
                  <c:v>-292.31101943557059</c:v>
                </c:pt>
                <c:pt idx="168">
                  <c:v>-293.44428022014171</c:v>
                </c:pt>
                <c:pt idx="169">
                  <c:v>-294.48815503429921</c:v>
                </c:pt>
                <c:pt idx="170">
                  <c:v>-295.44232590366238</c:v>
                </c:pt>
                <c:pt idx="171">
                  <c:v>-296.30650217854128</c:v>
                </c:pt>
                <c:pt idx="172">
                  <c:v>-297.08042062247108</c:v>
                </c:pt>
                <c:pt idx="173">
                  <c:v>-297.76384549239657</c:v>
                </c:pt>
                <c:pt idx="174">
                  <c:v>-298.35656861048199</c:v>
                </c:pt>
                <c:pt idx="175">
                  <c:v>-298.85840942752367</c:v>
                </c:pt>
                <c:pt idx="176">
                  <c:v>-299.26921507794725</c:v>
                </c:pt>
                <c:pt idx="177">
                  <c:v>-299.58886042637215</c:v>
                </c:pt>
                <c:pt idx="178">
                  <c:v>-299.81724810572871</c:v>
                </c:pt>
                <c:pt idx="179">
                  <c:v>-299.95430854691739</c:v>
                </c:pt>
                <c:pt idx="180">
                  <c:v>-300</c:v>
                </c:pt>
                <c:pt idx="181">
                  <c:v>-299.95430854691739</c:v>
                </c:pt>
                <c:pt idx="182">
                  <c:v>-299.81724810572871</c:v>
                </c:pt>
                <c:pt idx="183">
                  <c:v>-299.58886042637215</c:v>
                </c:pt>
                <c:pt idx="184">
                  <c:v>-299.26921507794731</c:v>
                </c:pt>
                <c:pt idx="185">
                  <c:v>-298.85840942752367</c:v>
                </c:pt>
                <c:pt idx="186">
                  <c:v>-298.35656861048204</c:v>
                </c:pt>
                <c:pt idx="187">
                  <c:v>-297.76384549239657</c:v>
                </c:pt>
                <c:pt idx="188">
                  <c:v>-297.08042062247108</c:v>
                </c:pt>
                <c:pt idx="189">
                  <c:v>-296.30650217854134</c:v>
                </c:pt>
                <c:pt idx="190">
                  <c:v>-295.44232590366238</c:v>
                </c:pt>
                <c:pt idx="191">
                  <c:v>-294.48815503429921</c:v>
                </c:pt>
                <c:pt idx="192">
                  <c:v>-293.44428022014171</c:v>
                </c:pt>
                <c:pt idx="193">
                  <c:v>-292.31101943557059</c:v>
                </c:pt>
                <c:pt idx="194">
                  <c:v>-291.08871788279896</c:v>
                </c:pt>
                <c:pt idx="195">
                  <c:v>-289.77774788672053</c:v>
                </c:pt>
                <c:pt idx="196">
                  <c:v>-288.37850878149567</c:v>
                </c:pt>
                <c:pt idx="197">
                  <c:v>-286.89142678891068</c:v>
                </c:pt>
                <c:pt idx="198">
                  <c:v>-285.31695488854604</c:v>
                </c:pt>
                <c:pt idx="199">
                  <c:v>-283.655572679795</c:v>
                </c:pt>
                <c:pt idx="200">
                  <c:v>-281.90778623577251</c:v>
                </c:pt>
                <c:pt idx="201">
                  <c:v>-280.07412794916053</c:v>
                </c:pt>
                <c:pt idx="202">
                  <c:v>-278.15515637003625</c:v>
                </c:pt>
                <c:pt idx="203">
                  <c:v>-276.15145603573211</c:v>
                </c:pt>
                <c:pt idx="204">
                  <c:v>-274.0636372927803</c:v>
                </c:pt>
                <c:pt idx="205">
                  <c:v>-271.89233611099502</c:v>
                </c:pt>
                <c:pt idx="206">
                  <c:v>-269.63821388975015</c:v>
                </c:pt>
                <c:pt idx="207">
                  <c:v>-267.30195725651043</c:v>
                </c:pt>
                <c:pt idx="208">
                  <c:v>-264.88427785767806</c:v>
                </c:pt>
                <c:pt idx="209">
                  <c:v>-262.38591214181878</c:v>
                </c:pt>
                <c:pt idx="210">
                  <c:v>-259.8076211353316</c:v>
                </c:pt>
                <c:pt idx="211">
                  <c:v>-257.1501902106337</c:v>
                </c:pt>
                <c:pt idx="212">
                  <c:v>-254.41442884692782</c:v>
                </c:pt>
                <c:pt idx="213">
                  <c:v>-251.60117038362722</c:v>
                </c:pt>
                <c:pt idx="214">
                  <c:v>-248.71127176651257</c:v>
                </c:pt>
                <c:pt idx="215">
                  <c:v>-245.74561328669762</c:v>
                </c:pt>
                <c:pt idx="216">
                  <c:v>-242.70509831248427</c:v>
                </c:pt>
                <c:pt idx="217">
                  <c:v>-239.59065301418792</c:v>
                </c:pt>
                <c:pt idx="218">
                  <c:v>-236.40322608201666</c:v>
                </c:pt>
                <c:pt idx="219">
                  <c:v>-233.14378843709125</c:v>
                </c:pt>
                <c:pt idx="220">
                  <c:v>-229.81333293569341</c:v>
                </c:pt>
                <c:pt idx="221">
                  <c:v>-226.41287406683156</c:v>
                </c:pt>
                <c:pt idx="222">
                  <c:v>-222.94344764321826</c:v>
                </c:pt>
                <c:pt idx="223">
                  <c:v>-219.40611048575119</c:v>
                </c:pt>
                <c:pt idx="224">
                  <c:v>-215.80194010159533</c:v>
                </c:pt>
                <c:pt idx="225">
                  <c:v>-212.13203435596429</c:v>
                </c:pt>
                <c:pt idx="226">
                  <c:v>-208.39751113769927</c:v>
                </c:pt>
                <c:pt idx="227">
                  <c:v>-204.59950801874967</c:v>
                </c:pt>
                <c:pt idx="228">
                  <c:v>-200.73918190765752</c:v>
                </c:pt>
                <c:pt idx="229">
                  <c:v>-196.81770869715228</c:v>
                </c:pt>
                <c:pt idx="230">
                  <c:v>-192.83628290596184</c:v>
                </c:pt>
                <c:pt idx="231">
                  <c:v>-188.79611731495115</c:v>
                </c:pt>
                <c:pt idx="232">
                  <c:v>-184.69844259769741</c:v>
                </c:pt>
                <c:pt idx="233">
                  <c:v>-180.54450694561447</c:v>
                </c:pt>
                <c:pt idx="234">
                  <c:v>-176.33557568774197</c:v>
                </c:pt>
                <c:pt idx="235">
                  <c:v>-172.07293090531391</c:v>
                </c:pt>
                <c:pt idx="236">
                  <c:v>-167.75787104122418</c:v>
                </c:pt>
                <c:pt idx="237">
                  <c:v>-163.3917105045081</c:v>
                </c:pt>
                <c:pt idx="238">
                  <c:v>-158.97577926996149</c:v>
                </c:pt>
                <c:pt idx="239">
                  <c:v>-154.51142247301635</c:v>
                </c:pt>
                <c:pt idx="240">
                  <c:v>-150.00000000000014</c:v>
                </c:pt>
                <c:pt idx="241">
                  <c:v>-145.44288607390106</c:v>
                </c:pt>
                <c:pt idx="242">
                  <c:v>-140.84146883576722</c:v>
                </c:pt>
                <c:pt idx="243">
                  <c:v>-136.19714992186408</c:v>
                </c:pt>
                <c:pt idx="244">
                  <c:v>-131.51134403672333</c:v>
                </c:pt>
                <c:pt idx="245">
                  <c:v>-126.78547852220998</c:v>
                </c:pt>
                <c:pt idx="246">
                  <c:v>-122.02099292274004</c:v>
                </c:pt>
                <c:pt idx="247">
                  <c:v>-117.21933854678215</c:v>
                </c:pt>
                <c:pt idx="248">
                  <c:v>-112.38197802477369</c:v>
                </c:pt>
                <c:pt idx="249">
                  <c:v>-107.51038486359022</c:v>
                </c:pt>
                <c:pt idx="250">
                  <c:v>-102.60604299770081</c:v>
                </c:pt>
                <c:pt idx="251">
                  <c:v>-97.670446337146998</c:v>
                </c:pt>
                <c:pt idx="252">
                  <c:v>-92.705098312484267</c:v>
                </c:pt>
                <c:pt idx="253">
                  <c:v>-87.711511416821125</c:v>
                </c:pt>
                <c:pt idx="254">
                  <c:v>-82.691206745099663</c:v>
                </c:pt>
                <c:pt idx="255">
                  <c:v>-77.645713530756183</c:v>
                </c:pt>
                <c:pt idx="256">
                  <c:v>-72.576568679900333</c:v>
                </c:pt>
                <c:pt idx="257">
                  <c:v>-67.485316303159578</c:v>
                </c:pt>
                <c:pt idx="258">
                  <c:v>-62.373507245327936</c:v>
                </c:pt>
                <c:pt idx="259">
                  <c:v>-57.242698612963643</c:v>
                </c:pt>
                <c:pt idx="260">
                  <c:v>-52.094453300079103</c:v>
                </c:pt>
                <c:pt idx="261">
                  <c:v>-46.93033951206931</c:v>
                </c:pt>
                <c:pt idx="262">
                  <c:v>-41.75193028801948</c:v>
                </c:pt>
                <c:pt idx="263">
                  <c:v>-36.560803021544153</c:v>
                </c:pt>
                <c:pt idx="264">
                  <c:v>-31.358538980296007</c:v>
                </c:pt>
                <c:pt idx="265">
                  <c:v>-26.146722824297473</c:v>
                </c:pt>
                <c:pt idx="266">
                  <c:v>-20.926942123237673</c:v>
                </c:pt>
                <c:pt idx="267">
                  <c:v>-15.700786872883292</c:v>
                </c:pt>
                <c:pt idx="268">
                  <c:v>-10.469849010750496</c:v>
                </c:pt>
                <c:pt idx="269">
                  <c:v>-5.2357219311850489</c:v>
                </c:pt>
                <c:pt idx="270">
                  <c:v>-5.51316804708879E-14</c:v>
                </c:pt>
                <c:pt idx="271">
                  <c:v>5.2357219311849388</c:v>
                </c:pt>
                <c:pt idx="272">
                  <c:v>10.469849010750384</c:v>
                </c:pt>
                <c:pt idx="273">
                  <c:v>15.700786872883183</c:v>
                </c:pt>
                <c:pt idx="274">
                  <c:v>20.926942123237566</c:v>
                </c:pt>
                <c:pt idx="275">
                  <c:v>26.146722824297367</c:v>
                </c:pt>
                <c:pt idx="276">
                  <c:v>31.358538980295897</c:v>
                </c:pt>
                <c:pt idx="277">
                  <c:v>36.560803021544302</c:v>
                </c:pt>
                <c:pt idx="278">
                  <c:v>41.751930288019636</c:v>
                </c:pt>
                <c:pt idx="279">
                  <c:v>46.930339512069203</c:v>
                </c:pt>
                <c:pt idx="280">
                  <c:v>52.094453300078989</c:v>
                </c:pt>
                <c:pt idx="281">
                  <c:v>57.242698612963274</c:v>
                </c:pt>
                <c:pt idx="282">
                  <c:v>62.373507245327566</c:v>
                </c:pt>
                <c:pt idx="283">
                  <c:v>67.485316303159479</c:v>
                </c:pt>
                <c:pt idx="284">
                  <c:v>72.576568679900234</c:v>
                </c:pt>
                <c:pt idx="285">
                  <c:v>77.645713530756339</c:v>
                </c:pt>
                <c:pt idx="286">
                  <c:v>82.691206745099819</c:v>
                </c:pt>
                <c:pt idx="287">
                  <c:v>87.711511416821011</c:v>
                </c:pt>
                <c:pt idx="288">
                  <c:v>92.705098312484168</c:v>
                </c:pt>
                <c:pt idx="289">
                  <c:v>97.670446337146899</c:v>
                </c:pt>
                <c:pt idx="290">
                  <c:v>102.60604299770044</c:v>
                </c:pt>
                <c:pt idx="291">
                  <c:v>107.51038486358986</c:v>
                </c:pt>
                <c:pt idx="292">
                  <c:v>112.38197802477359</c:v>
                </c:pt>
                <c:pt idx="293">
                  <c:v>117.21933854678205</c:v>
                </c:pt>
                <c:pt idx="294">
                  <c:v>122.02099292274016</c:v>
                </c:pt>
                <c:pt idx="295">
                  <c:v>126.78547852220989</c:v>
                </c:pt>
                <c:pt idx="296">
                  <c:v>131.51134403672322</c:v>
                </c:pt>
                <c:pt idx="297">
                  <c:v>136.197149921864</c:v>
                </c:pt>
                <c:pt idx="298">
                  <c:v>140.84146883576713</c:v>
                </c:pt>
                <c:pt idx="299">
                  <c:v>145.44288607390095</c:v>
                </c:pt>
                <c:pt idx="300">
                  <c:v>150.00000000000003</c:v>
                </c:pt>
                <c:pt idx="301">
                  <c:v>154.51142247301624</c:v>
                </c:pt>
                <c:pt idx="302">
                  <c:v>158.97577926996141</c:v>
                </c:pt>
                <c:pt idx="303">
                  <c:v>163.39171050450798</c:v>
                </c:pt>
                <c:pt idx="304">
                  <c:v>167.75787104122386</c:v>
                </c:pt>
                <c:pt idx="305">
                  <c:v>172.07293090531383</c:v>
                </c:pt>
                <c:pt idx="306">
                  <c:v>176.33557568774188</c:v>
                </c:pt>
                <c:pt idx="307">
                  <c:v>180.54450694561439</c:v>
                </c:pt>
                <c:pt idx="308">
                  <c:v>184.69844259769755</c:v>
                </c:pt>
                <c:pt idx="309">
                  <c:v>188.79611731495126</c:v>
                </c:pt>
                <c:pt idx="310">
                  <c:v>192.83628290596178</c:v>
                </c:pt>
                <c:pt idx="311">
                  <c:v>196.81770869715211</c:v>
                </c:pt>
                <c:pt idx="312">
                  <c:v>200.73918190765733</c:v>
                </c:pt>
                <c:pt idx="313">
                  <c:v>204.59950801874942</c:v>
                </c:pt>
                <c:pt idx="314">
                  <c:v>208.39751113769898</c:v>
                </c:pt>
                <c:pt idx="315">
                  <c:v>212.13203435596421</c:v>
                </c:pt>
                <c:pt idx="316">
                  <c:v>215.80194010159525</c:v>
                </c:pt>
                <c:pt idx="317">
                  <c:v>219.40611048575121</c:v>
                </c:pt>
                <c:pt idx="318">
                  <c:v>222.94344764321826</c:v>
                </c:pt>
                <c:pt idx="319">
                  <c:v>226.41287406683156</c:v>
                </c:pt>
                <c:pt idx="320">
                  <c:v>229.81333293569332</c:v>
                </c:pt>
                <c:pt idx="321">
                  <c:v>233.14378843709116</c:v>
                </c:pt>
                <c:pt idx="322">
                  <c:v>236.40322608201646</c:v>
                </c:pt>
                <c:pt idx="323">
                  <c:v>239.59065301418784</c:v>
                </c:pt>
                <c:pt idx="324">
                  <c:v>242.70509831248421</c:v>
                </c:pt>
                <c:pt idx="325">
                  <c:v>245.74561328669748</c:v>
                </c:pt>
                <c:pt idx="326">
                  <c:v>248.71127176651243</c:v>
                </c:pt>
                <c:pt idx="327">
                  <c:v>251.60117038362722</c:v>
                </c:pt>
                <c:pt idx="328">
                  <c:v>254.41442884692762</c:v>
                </c:pt>
                <c:pt idx="329">
                  <c:v>257.15019021063364</c:v>
                </c:pt>
                <c:pt idx="330">
                  <c:v>259.80762113533149</c:v>
                </c:pt>
                <c:pt idx="331">
                  <c:v>262.38591214181878</c:v>
                </c:pt>
                <c:pt idx="332">
                  <c:v>264.88427785767806</c:v>
                </c:pt>
                <c:pt idx="333">
                  <c:v>267.30195725651032</c:v>
                </c:pt>
                <c:pt idx="334">
                  <c:v>269.63821388975015</c:v>
                </c:pt>
                <c:pt idx="335">
                  <c:v>271.8923361109949</c:v>
                </c:pt>
                <c:pt idx="336">
                  <c:v>274.0636372927803</c:v>
                </c:pt>
                <c:pt idx="337">
                  <c:v>276.151456035732</c:v>
                </c:pt>
                <c:pt idx="338">
                  <c:v>278.1551563700362</c:v>
                </c:pt>
                <c:pt idx="339">
                  <c:v>280.07412794916047</c:v>
                </c:pt>
                <c:pt idx="340">
                  <c:v>281.90778623577251</c:v>
                </c:pt>
                <c:pt idx="341">
                  <c:v>283.65557267979494</c:v>
                </c:pt>
                <c:pt idx="342">
                  <c:v>285.31695488854604</c:v>
                </c:pt>
                <c:pt idx="343">
                  <c:v>286.89142678891068</c:v>
                </c:pt>
                <c:pt idx="344">
                  <c:v>288.37850878149561</c:v>
                </c:pt>
                <c:pt idx="345">
                  <c:v>289.77774788672048</c:v>
                </c:pt>
                <c:pt idx="346">
                  <c:v>291.08871788279896</c:v>
                </c:pt>
                <c:pt idx="347">
                  <c:v>292.31101943557053</c:v>
                </c:pt>
                <c:pt idx="348">
                  <c:v>293.44428022014165</c:v>
                </c:pt>
                <c:pt idx="349">
                  <c:v>294.48815503429921</c:v>
                </c:pt>
                <c:pt idx="350">
                  <c:v>295.44232590366238</c:v>
                </c:pt>
                <c:pt idx="351">
                  <c:v>296.30650217854128</c:v>
                </c:pt>
                <c:pt idx="352">
                  <c:v>297.08042062247108</c:v>
                </c:pt>
                <c:pt idx="353">
                  <c:v>297.76384549239657</c:v>
                </c:pt>
                <c:pt idx="354">
                  <c:v>298.35656861048199</c:v>
                </c:pt>
                <c:pt idx="355">
                  <c:v>298.85840942752367</c:v>
                </c:pt>
                <c:pt idx="356">
                  <c:v>299.26921507794731</c:v>
                </c:pt>
                <c:pt idx="357">
                  <c:v>299.58886042637215</c:v>
                </c:pt>
                <c:pt idx="358">
                  <c:v>299.81724810572871</c:v>
                </c:pt>
                <c:pt idx="359">
                  <c:v>299.95430854691739</c:v>
                </c:pt>
                <c:pt idx="360">
                  <c:v>300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7D5-4879-B749-AC6AAB384502}"/>
            </c:ext>
          </c:extLst>
        </c:ser>
        <c:ser>
          <c:idx val="2"/>
          <c:order val="2"/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Aufsicht!$X$10:$X$370</c:f>
              <c:numCache>
                <c:formatCode>General</c:formatCode>
                <c:ptCount val="361"/>
                <c:pt idx="0">
                  <c:v>-148</c:v>
                </c:pt>
                <c:pt idx="1">
                  <c:v>-142.76427806881495</c:v>
                </c:pt>
                <c:pt idx="2">
                  <c:v>-137.53015098924971</c:v>
                </c:pt>
                <c:pt idx="3">
                  <c:v>-132.29921312711684</c:v>
                </c:pt>
                <c:pt idx="4">
                  <c:v>-127.07305787676241</c:v>
                </c:pt>
                <c:pt idx="5">
                  <c:v>-121.85327717570254</c:v>
                </c:pt>
                <c:pt idx="6">
                  <c:v>-116.64146101970397</c:v>
                </c:pt>
                <c:pt idx="7">
                  <c:v>-111.43919697845575</c:v>
                </c:pt>
                <c:pt idx="8">
                  <c:v>-106.24806971198038</c:v>
                </c:pt>
                <c:pt idx="9">
                  <c:v>-101.06966048793075</c:v>
                </c:pt>
                <c:pt idx="10">
                  <c:v>-95.905546699920905</c:v>
                </c:pt>
                <c:pt idx="11">
                  <c:v>-90.757301387036563</c:v>
                </c:pt>
                <c:pt idx="12">
                  <c:v>-85.626492754672199</c:v>
                </c:pt>
                <c:pt idx="13">
                  <c:v>-80.514683696840493</c:v>
                </c:pt>
                <c:pt idx="14">
                  <c:v>-75.423431320099681</c:v>
                </c:pt>
                <c:pt idx="15">
                  <c:v>-70.354286469243775</c:v>
                </c:pt>
                <c:pt idx="16">
                  <c:v>-65.308793254900252</c:v>
                </c:pt>
                <c:pt idx="17">
                  <c:v>-60.288488583178975</c:v>
                </c:pt>
                <c:pt idx="18">
                  <c:v>-55.294901687515775</c:v>
                </c:pt>
                <c:pt idx="19">
                  <c:v>-50.329553662853002</c:v>
                </c:pt>
                <c:pt idx="20">
                  <c:v>-45.393957002299388</c:v>
                </c:pt>
                <c:pt idx="21">
                  <c:v>-40.489615136409924</c:v>
                </c:pt>
                <c:pt idx="22">
                  <c:v>-35.618021975226398</c:v>
                </c:pt>
                <c:pt idx="23">
                  <c:v>-30.780661453217888</c:v>
                </c:pt>
                <c:pt idx="24">
                  <c:v>-25.979007077259951</c:v>
                </c:pt>
                <c:pt idx="25">
                  <c:v>-21.214521477790171</c:v>
                </c:pt>
                <c:pt idx="26">
                  <c:v>-16.488655963276784</c:v>
                </c:pt>
                <c:pt idx="27">
                  <c:v>-11.802850078135975</c:v>
                </c:pt>
                <c:pt idx="28">
                  <c:v>-7.1585311642327554</c:v>
                </c:pt>
                <c:pt idx="29">
                  <c:v>-2.5571139260988787</c:v>
                </c:pt>
                <c:pt idx="30">
                  <c:v>1.9999999999999716</c:v>
                </c:pt>
                <c:pt idx="31">
                  <c:v>6.5114224730162391</c:v>
                </c:pt>
                <c:pt idx="32">
                  <c:v>10.975779269961464</c:v>
                </c:pt>
                <c:pt idx="33">
                  <c:v>15.391710504508126</c:v>
                </c:pt>
                <c:pt idx="34">
                  <c:v>19.757871041224064</c:v>
                </c:pt>
                <c:pt idx="35">
                  <c:v>24.072930905313825</c:v>
                </c:pt>
                <c:pt idx="36">
                  <c:v>28.335575687741937</c:v>
                </c:pt>
                <c:pt idx="37">
                  <c:v>32.544506945614472</c:v>
                </c:pt>
                <c:pt idx="38">
                  <c:v>36.698442597697465</c:v>
                </c:pt>
                <c:pt idx="39">
                  <c:v>40.796117314951204</c:v>
                </c:pt>
                <c:pt idx="40">
                  <c:v>44.836282905961781</c:v>
                </c:pt>
                <c:pt idx="41">
                  <c:v>48.817708697152142</c:v>
                </c:pt>
                <c:pt idx="42">
                  <c:v>52.739181907657468</c:v>
                </c:pt>
                <c:pt idx="43">
                  <c:v>56.599508018749532</c:v>
                </c:pt>
                <c:pt idx="44">
                  <c:v>60.397511137699183</c:v>
                </c:pt>
                <c:pt idx="45">
                  <c:v>64.132034355964237</c:v>
                </c:pt>
                <c:pt idx="46">
                  <c:v>67.801940101595335</c:v>
                </c:pt>
                <c:pt idx="47">
                  <c:v>71.406110485751128</c:v>
                </c:pt>
                <c:pt idx="48">
                  <c:v>74.943447643218235</c:v>
                </c:pt>
                <c:pt idx="49">
                  <c:v>78.412874066831591</c:v>
                </c:pt>
                <c:pt idx="50">
                  <c:v>81.81333293569341</c:v>
                </c:pt>
                <c:pt idx="51">
                  <c:v>85.143788437091246</c:v>
                </c:pt>
                <c:pt idx="52">
                  <c:v>88.403226082016602</c:v>
                </c:pt>
                <c:pt idx="53">
                  <c:v>91.590653014187836</c:v>
                </c:pt>
                <c:pt idx="54">
                  <c:v>94.705098312484239</c:v>
                </c:pt>
                <c:pt idx="55">
                  <c:v>97.745613286697534</c:v>
                </c:pt>
                <c:pt idx="56">
                  <c:v>100.71127176651251</c:v>
                </c:pt>
                <c:pt idx="57">
                  <c:v>103.60117038362719</c:v>
                </c:pt>
                <c:pt idx="58">
                  <c:v>106.41442884692779</c:v>
                </c:pt>
                <c:pt idx="59">
                  <c:v>109.15019021063364</c:v>
                </c:pt>
                <c:pt idx="60">
                  <c:v>111.8076211353316</c:v>
                </c:pt>
                <c:pt idx="61">
                  <c:v>114.38591214181872</c:v>
                </c:pt>
                <c:pt idx="62">
                  <c:v>116.88427785767806</c:v>
                </c:pt>
                <c:pt idx="63">
                  <c:v>119.30195725651032</c:v>
                </c:pt>
                <c:pt idx="64">
                  <c:v>121.63821388975009</c:v>
                </c:pt>
                <c:pt idx="65">
                  <c:v>123.89233611099496</c:v>
                </c:pt>
                <c:pt idx="66">
                  <c:v>126.06363729278024</c:v>
                </c:pt>
                <c:pt idx="67">
                  <c:v>128.15145603573205</c:v>
                </c:pt>
                <c:pt idx="68">
                  <c:v>130.15515637003625</c:v>
                </c:pt>
                <c:pt idx="69">
                  <c:v>132.07412794916053</c:v>
                </c:pt>
                <c:pt idx="70">
                  <c:v>133.90778623577251</c:v>
                </c:pt>
                <c:pt idx="71">
                  <c:v>135.655572679795</c:v>
                </c:pt>
                <c:pt idx="72">
                  <c:v>137.31695488854604</c:v>
                </c:pt>
                <c:pt idx="73">
                  <c:v>138.89142678891062</c:v>
                </c:pt>
                <c:pt idx="74">
                  <c:v>140.37850878149567</c:v>
                </c:pt>
                <c:pt idx="75">
                  <c:v>141.77774788672048</c:v>
                </c:pt>
                <c:pt idx="76">
                  <c:v>143.08871788279896</c:v>
                </c:pt>
                <c:pt idx="77">
                  <c:v>144.31101943557059</c:v>
                </c:pt>
                <c:pt idx="78">
                  <c:v>145.44428022014165</c:v>
                </c:pt>
                <c:pt idx="79">
                  <c:v>146.48815503429921</c:v>
                </c:pt>
                <c:pt idx="80">
                  <c:v>147.44232590366238</c:v>
                </c:pt>
                <c:pt idx="81">
                  <c:v>148.30650217854134</c:v>
                </c:pt>
                <c:pt idx="82">
                  <c:v>149.08042062247108</c:v>
                </c:pt>
                <c:pt idx="83">
                  <c:v>149.76384549239657</c:v>
                </c:pt>
                <c:pt idx="84">
                  <c:v>150.35656861048199</c:v>
                </c:pt>
                <c:pt idx="85">
                  <c:v>150.85840942752367</c:v>
                </c:pt>
                <c:pt idx="86">
                  <c:v>151.26921507794725</c:v>
                </c:pt>
                <c:pt idx="87">
                  <c:v>151.58886042637215</c:v>
                </c:pt>
                <c:pt idx="88">
                  <c:v>151.81724810572871</c:v>
                </c:pt>
                <c:pt idx="89">
                  <c:v>151.95430854691739</c:v>
                </c:pt>
                <c:pt idx="90">
                  <c:v>152</c:v>
                </c:pt>
                <c:pt idx="91">
                  <c:v>151.95430854691739</c:v>
                </c:pt>
                <c:pt idx="92">
                  <c:v>151.81724810572871</c:v>
                </c:pt>
                <c:pt idx="93">
                  <c:v>151.58886042637215</c:v>
                </c:pt>
                <c:pt idx="94">
                  <c:v>151.26921507794725</c:v>
                </c:pt>
                <c:pt idx="95">
                  <c:v>150.85840942752367</c:v>
                </c:pt>
                <c:pt idx="96">
                  <c:v>150.35656861048204</c:v>
                </c:pt>
                <c:pt idx="97">
                  <c:v>149.76384549239663</c:v>
                </c:pt>
                <c:pt idx="98">
                  <c:v>149.08042062247108</c:v>
                </c:pt>
                <c:pt idx="99">
                  <c:v>148.30650217854128</c:v>
                </c:pt>
                <c:pt idx="100">
                  <c:v>147.44232590366238</c:v>
                </c:pt>
                <c:pt idx="101">
                  <c:v>146.48815503429921</c:v>
                </c:pt>
                <c:pt idx="102">
                  <c:v>145.44428022014171</c:v>
                </c:pt>
                <c:pt idx="103">
                  <c:v>144.31101943557059</c:v>
                </c:pt>
                <c:pt idx="104">
                  <c:v>143.08871788279896</c:v>
                </c:pt>
                <c:pt idx="105">
                  <c:v>141.77774788672048</c:v>
                </c:pt>
                <c:pt idx="106">
                  <c:v>140.37850878149567</c:v>
                </c:pt>
                <c:pt idx="107">
                  <c:v>138.89142678891068</c:v>
                </c:pt>
                <c:pt idx="108">
                  <c:v>137.31695488854609</c:v>
                </c:pt>
                <c:pt idx="109">
                  <c:v>135.65557267979506</c:v>
                </c:pt>
                <c:pt idx="110">
                  <c:v>133.90778623577251</c:v>
                </c:pt>
                <c:pt idx="111">
                  <c:v>132.07412794916053</c:v>
                </c:pt>
                <c:pt idx="112">
                  <c:v>130.15515637003625</c:v>
                </c:pt>
                <c:pt idx="113">
                  <c:v>128.15145603573211</c:v>
                </c:pt>
                <c:pt idx="114">
                  <c:v>126.0636372927803</c:v>
                </c:pt>
                <c:pt idx="115">
                  <c:v>123.89233611099502</c:v>
                </c:pt>
                <c:pt idx="116">
                  <c:v>121.63821388975009</c:v>
                </c:pt>
                <c:pt idx="117">
                  <c:v>119.30195725651038</c:v>
                </c:pt>
                <c:pt idx="118">
                  <c:v>116.88427785767811</c:v>
                </c:pt>
                <c:pt idx="119">
                  <c:v>114.38591214181878</c:v>
                </c:pt>
                <c:pt idx="120">
                  <c:v>111.8076211353316</c:v>
                </c:pt>
                <c:pt idx="121">
                  <c:v>109.1501902106337</c:v>
                </c:pt>
                <c:pt idx="122">
                  <c:v>106.41442884692782</c:v>
                </c:pt>
                <c:pt idx="123">
                  <c:v>103.60117038362719</c:v>
                </c:pt>
                <c:pt idx="124">
                  <c:v>100.71127176651251</c:v>
                </c:pt>
                <c:pt idx="125">
                  <c:v>97.745613286697619</c:v>
                </c:pt>
                <c:pt idx="126">
                  <c:v>94.705098312484239</c:v>
                </c:pt>
                <c:pt idx="127">
                  <c:v>91.590653014187808</c:v>
                </c:pt>
                <c:pt idx="128">
                  <c:v>88.403226082016602</c:v>
                </c:pt>
                <c:pt idx="129">
                  <c:v>85.143788437091303</c:v>
                </c:pt>
                <c:pt idx="130">
                  <c:v>81.81333293569341</c:v>
                </c:pt>
                <c:pt idx="131">
                  <c:v>78.412874066831534</c:v>
                </c:pt>
                <c:pt idx="132">
                  <c:v>74.943447643218263</c:v>
                </c:pt>
                <c:pt idx="133">
                  <c:v>71.406110485751185</c:v>
                </c:pt>
                <c:pt idx="134">
                  <c:v>67.80194010159542</c:v>
                </c:pt>
                <c:pt idx="135">
                  <c:v>64.132034355964265</c:v>
                </c:pt>
                <c:pt idx="136">
                  <c:v>60.397511137699155</c:v>
                </c:pt>
                <c:pt idx="137">
                  <c:v>56.599508018749589</c:v>
                </c:pt>
                <c:pt idx="138">
                  <c:v>52.739181907657496</c:v>
                </c:pt>
                <c:pt idx="139">
                  <c:v>48.81770869715217</c:v>
                </c:pt>
                <c:pt idx="140">
                  <c:v>44.836282905961838</c:v>
                </c:pt>
                <c:pt idx="141">
                  <c:v>40.796117314951317</c:v>
                </c:pt>
                <c:pt idx="142">
                  <c:v>36.698442597697522</c:v>
                </c:pt>
                <c:pt idx="143">
                  <c:v>32.544506945614444</c:v>
                </c:pt>
                <c:pt idx="144">
                  <c:v>28.335575687741965</c:v>
                </c:pt>
                <c:pt idx="145">
                  <c:v>24.07293090531391</c:v>
                </c:pt>
                <c:pt idx="146">
                  <c:v>19.757871041224064</c:v>
                </c:pt>
                <c:pt idx="147">
                  <c:v>15.391710504508097</c:v>
                </c:pt>
                <c:pt idx="148">
                  <c:v>10.975779269961464</c:v>
                </c:pt>
                <c:pt idx="149">
                  <c:v>6.5114224730163244</c:v>
                </c:pt>
                <c:pt idx="150">
                  <c:v>1.9999999999999716</c:v>
                </c:pt>
                <c:pt idx="151">
                  <c:v>-2.5571139260988502</c:v>
                </c:pt>
                <c:pt idx="152">
                  <c:v>-7.1585311642326701</c:v>
                </c:pt>
                <c:pt idx="153">
                  <c:v>-11.802850078135947</c:v>
                </c:pt>
                <c:pt idx="154">
                  <c:v>-16.488655963276813</c:v>
                </c:pt>
                <c:pt idx="155">
                  <c:v>-21.214521477790157</c:v>
                </c:pt>
                <c:pt idx="156">
                  <c:v>-25.979007077259865</c:v>
                </c:pt>
                <c:pt idx="157">
                  <c:v>-30.780661453217746</c:v>
                </c:pt>
                <c:pt idx="158">
                  <c:v>-35.618021975226327</c:v>
                </c:pt>
                <c:pt idx="159">
                  <c:v>-40.489615136409938</c:v>
                </c:pt>
                <c:pt idx="160">
                  <c:v>-45.393957002299331</c:v>
                </c:pt>
                <c:pt idx="161">
                  <c:v>-50.329553662852888</c:v>
                </c:pt>
                <c:pt idx="162">
                  <c:v>-55.294901687515747</c:v>
                </c:pt>
                <c:pt idx="163">
                  <c:v>-60.288488583178889</c:v>
                </c:pt>
                <c:pt idx="164">
                  <c:v>-65.308793254900095</c:v>
                </c:pt>
                <c:pt idx="165">
                  <c:v>-70.354286469243689</c:v>
                </c:pt>
                <c:pt idx="166">
                  <c:v>-75.423431320099681</c:v>
                </c:pt>
                <c:pt idx="167">
                  <c:v>-80.514683696840564</c:v>
                </c:pt>
                <c:pt idx="168">
                  <c:v>-85.626492754672199</c:v>
                </c:pt>
                <c:pt idx="169">
                  <c:v>-90.757301387036506</c:v>
                </c:pt>
                <c:pt idx="170">
                  <c:v>-95.905546699920919</c:v>
                </c:pt>
                <c:pt idx="171">
                  <c:v>-101.0696604879307</c:v>
                </c:pt>
                <c:pt idx="172">
                  <c:v>-106.24806971198028</c:v>
                </c:pt>
                <c:pt idx="173">
                  <c:v>-111.43919697845573</c:v>
                </c:pt>
                <c:pt idx="174">
                  <c:v>-116.64146101970388</c:v>
                </c:pt>
                <c:pt idx="175">
                  <c:v>-121.8532771757024</c:v>
                </c:pt>
                <c:pt idx="176">
                  <c:v>-127.07305787676233</c:v>
                </c:pt>
                <c:pt idx="177">
                  <c:v>-132.29921312711684</c:v>
                </c:pt>
                <c:pt idx="178">
                  <c:v>-137.53015098924979</c:v>
                </c:pt>
                <c:pt idx="179">
                  <c:v>-142.76427806881497</c:v>
                </c:pt>
                <c:pt idx="180">
                  <c:v>-147.99999999999997</c:v>
                </c:pt>
                <c:pt idx="181">
                  <c:v>-153.23572193118497</c:v>
                </c:pt>
                <c:pt idx="182">
                  <c:v>-158.46984901075027</c:v>
                </c:pt>
                <c:pt idx="183">
                  <c:v>-163.70078687288307</c:v>
                </c:pt>
                <c:pt idx="184">
                  <c:v>-168.92694212323744</c:v>
                </c:pt>
                <c:pt idx="185">
                  <c:v>-174.1467228242974</c:v>
                </c:pt>
                <c:pt idx="186">
                  <c:v>-179.35853898029592</c:v>
                </c:pt>
                <c:pt idx="187">
                  <c:v>-184.56080302154433</c:v>
                </c:pt>
                <c:pt idx="188">
                  <c:v>-189.75193028801965</c:v>
                </c:pt>
                <c:pt idx="189">
                  <c:v>-194.93033951206922</c:v>
                </c:pt>
                <c:pt idx="190">
                  <c:v>-200.09445330007912</c:v>
                </c:pt>
                <c:pt idx="191">
                  <c:v>-205.24269861296341</c:v>
                </c:pt>
                <c:pt idx="192">
                  <c:v>-210.37350724532772</c:v>
                </c:pt>
                <c:pt idx="193">
                  <c:v>-215.48531630315949</c:v>
                </c:pt>
                <c:pt idx="194">
                  <c:v>-220.57656867990025</c:v>
                </c:pt>
                <c:pt idx="195">
                  <c:v>-225.6457135307561</c:v>
                </c:pt>
                <c:pt idx="196">
                  <c:v>-230.69120674509969</c:v>
                </c:pt>
                <c:pt idx="197">
                  <c:v>-235.71151141682091</c:v>
                </c:pt>
                <c:pt idx="198">
                  <c:v>-240.70509831248432</c:v>
                </c:pt>
                <c:pt idx="199">
                  <c:v>-245.67044633714704</c:v>
                </c:pt>
                <c:pt idx="200">
                  <c:v>-250.6060429977006</c:v>
                </c:pt>
                <c:pt idx="201">
                  <c:v>-255.51038486359013</c:v>
                </c:pt>
                <c:pt idx="202">
                  <c:v>-260.38197802477362</c:v>
                </c:pt>
                <c:pt idx="203">
                  <c:v>-265.21933854678207</c:v>
                </c:pt>
                <c:pt idx="204">
                  <c:v>-270.02099292273994</c:v>
                </c:pt>
                <c:pt idx="205">
                  <c:v>-274.78547852220981</c:v>
                </c:pt>
                <c:pt idx="206">
                  <c:v>-279.51134403672313</c:v>
                </c:pt>
                <c:pt idx="207">
                  <c:v>-284.19714992186391</c:v>
                </c:pt>
                <c:pt idx="208">
                  <c:v>-288.84146883576727</c:v>
                </c:pt>
                <c:pt idx="209">
                  <c:v>-293.44288607390109</c:v>
                </c:pt>
                <c:pt idx="210">
                  <c:v>-298</c:v>
                </c:pt>
                <c:pt idx="211">
                  <c:v>-302.51142247301624</c:v>
                </c:pt>
                <c:pt idx="212">
                  <c:v>-306.97577926996144</c:v>
                </c:pt>
                <c:pt idx="213">
                  <c:v>-311.39171050450813</c:v>
                </c:pt>
                <c:pt idx="214">
                  <c:v>-315.75787104122401</c:v>
                </c:pt>
                <c:pt idx="215">
                  <c:v>-320.07293090531374</c:v>
                </c:pt>
                <c:pt idx="216">
                  <c:v>-324.33557568774188</c:v>
                </c:pt>
                <c:pt idx="217">
                  <c:v>-328.54450694561444</c:v>
                </c:pt>
                <c:pt idx="218">
                  <c:v>-332.69844259769735</c:v>
                </c:pt>
                <c:pt idx="219">
                  <c:v>-336.79611731495129</c:v>
                </c:pt>
                <c:pt idx="220">
                  <c:v>-340.83628290596175</c:v>
                </c:pt>
                <c:pt idx="221">
                  <c:v>-344.81770869715223</c:v>
                </c:pt>
                <c:pt idx="222">
                  <c:v>-348.73918190765744</c:v>
                </c:pt>
                <c:pt idx="223">
                  <c:v>-352.59950801874948</c:v>
                </c:pt>
                <c:pt idx="224">
                  <c:v>-356.39751113769921</c:v>
                </c:pt>
                <c:pt idx="225">
                  <c:v>-360.13203435596427</c:v>
                </c:pt>
                <c:pt idx="226">
                  <c:v>-363.80194010159528</c:v>
                </c:pt>
                <c:pt idx="227">
                  <c:v>-367.40611048575101</c:v>
                </c:pt>
                <c:pt idx="228">
                  <c:v>-370.94344764321818</c:v>
                </c:pt>
                <c:pt idx="229">
                  <c:v>-374.41287406683148</c:v>
                </c:pt>
                <c:pt idx="230">
                  <c:v>-377.81333293569338</c:v>
                </c:pt>
                <c:pt idx="231">
                  <c:v>-381.1437884370913</c:v>
                </c:pt>
                <c:pt idx="232">
                  <c:v>-384.40322608201666</c:v>
                </c:pt>
                <c:pt idx="233">
                  <c:v>-387.59065301418786</c:v>
                </c:pt>
                <c:pt idx="234">
                  <c:v>-390.70509831248421</c:v>
                </c:pt>
                <c:pt idx="235">
                  <c:v>-393.74561328669745</c:v>
                </c:pt>
                <c:pt idx="236">
                  <c:v>-396.71127176651243</c:v>
                </c:pt>
                <c:pt idx="237">
                  <c:v>-399.60117038362722</c:v>
                </c:pt>
                <c:pt idx="238">
                  <c:v>-402.41442884692776</c:v>
                </c:pt>
                <c:pt idx="239">
                  <c:v>-405.15019021063364</c:v>
                </c:pt>
                <c:pt idx="240">
                  <c:v>-407.80762113533149</c:v>
                </c:pt>
                <c:pt idx="241">
                  <c:v>-410.38591214181878</c:v>
                </c:pt>
                <c:pt idx="242">
                  <c:v>-412.88427785767811</c:v>
                </c:pt>
                <c:pt idx="243">
                  <c:v>-415.30195725651032</c:v>
                </c:pt>
                <c:pt idx="244">
                  <c:v>-417.63821388975003</c:v>
                </c:pt>
                <c:pt idx="245">
                  <c:v>-419.8923361109949</c:v>
                </c:pt>
                <c:pt idx="246">
                  <c:v>-422.0636372927803</c:v>
                </c:pt>
                <c:pt idx="247">
                  <c:v>-424.15145603573205</c:v>
                </c:pt>
                <c:pt idx="248">
                  <c:v>-426.1551563700362</c:v>
                </c:pt>
                <c:pt idx="249">
                  <c:v>-428.07412794916047</c:v>
                </c:pt>
                <c:pt idx="250">
                  <c:v>-429.90778623577245</c:v>
                </c:pt>
                <c:pt idx="251">
                  <c:v>-431.65557267979506</c:v>
                </c:pt>
                <c:pt idx="252">
                  <c:v>-433.31695488854604</c:v>
                </c:pt>
                <c:pt idx="253">
                  <c:v>-434.89142678891062</c:v>
                </c:pt>
                <c:pt idx="254">
                  <c:v>-436.37850878149573</c:v>
                </c:pt>
                <c:pt idx="255">
                  <c:v>-437.77774788672048</c:v>
                </c:pt>
                <c:pt idx="256">
                  <c:v>-439.08871788279896</c:v>
                </c:pt>
                <c:pt idx="257">
                  <c:v>-440.31101943557053</c:v>
                </c:pt>
                <c:pt idx="258">
                  <c:v>-441.44428022014165</c:v>
                </c:pt>
                <c:pt idx="259">
                  <c:v>-442.48815503429915</c:v>
                </c:pt>
                <c:pt idx="260">
                  <c:v>-443.44232590366238</c:v>
                </c:pt>
                <c:pt idx="261">
                  <c:v>-444.30650217854128</c:v>
                </c:pt>
                <c:pt idx="262">
                  <c:v>-445.08042062247108</c:v>
                </c:pt>
                <c:pt idx="263">
                  <c:v>-445.76384549239663</c:v>
                </c:pt>
                <c:pt idx="264">
                  <c:v>-446.35656861048204</c:v>
                </c:pt>
                <c:pt idx="265">
                  <c:v>-446.85840942752367</c:v>
                </c:pt>
                <c:pt idx="266">
                  <c:v>-447.26921507794725</c:v>
                </c:pt>
                <c:pt idx="267">
                  <c:v>-447.58886042637215</c:v>
                </c:pt>
                <c:pt idx="268">
                  <c:v>-447.81724810572871</c:v>
                </c:pt>
                <c:pt idx="269">
                  <c:v>-447.95430854691739</c:v>
                </c:pt>
                <c:pt idx="270">
                  <c:v>-448</c:v>
                </c:pt>
                <c:pt idx="271">
                  <c:v>-447.95430854691739</c:v>
                </c:pt>
                <c:pt idx="272">
                  <c:v>-447.81724810572871</c:v>
                </c:pt>
                <c:pt idx="273">
                  <c:v>-447.58886042637215</c:v>
                </c:pt>
                <c:pt idx="274">
                  <c:v>-447.26921507794731</c:v>
                </c:pt>
                <c:pt idx="275">
                  <c:v>-446.85840942752367</c:v>
                </c:pt>
                <c:pt idx="276">
                  <c:v>-446.35656861048204</c:v>
                </c:pt>
                <c:pt idx="277">
                  <c:v>-445.76384549239657</c:v>
                </c:pt>
                <c:pt idx="278">
                  <c:v>-445.08042062247108</c:v>
                </c:pt>
                <c:pt idx="279">
                  <c:v>-444.30650217854134</c:v>
                </c:pt>
                <c:pt idx="280">
                  <c:v>-443.44232590366244</c:v>
                </c:pt>
                <c:pt idx="281">
                  <c:v>-442.48815503429921</c:v>
                </c:pt>
                <c:pt idx="282">
                  <c:v>-441.44428022014176</c:v>
                </c:pt>
                <c:pt idx="283">
                  <c:v>-440.31101943557059</c:v>
                </c:pt>
                <c:pt idx="284">
                  <c:v>-439.08871788279896</c:v>
                </c:pt>
                <c:pt idx="285">
                  <c:v>-437.77774788672048</c:v>
                </c:pt>
                <c:pt idx="286">
                  <c:v>-436.37850878149561</c:v>
                </c:pt>
                <c:pt idx="287">
                  <c:v>-434.89142678891062</c:v>
                </c:pt>
                <c:pt idx="288">
                  <c:v>-433.31695488854609</c:v>
                </c:pt>
                <c:pt idx="289">
                  <c:v>-431.65557267979511</c:v>
                </c:pt>
                <c:pt idx="290">
                  <c:v>-429.90778623577256</c:v>
                </c:pt>
                <c:pt idx="291">
                  <c:v>-428.07412794916064</c:v>
                </c:pt>
                <c:pt idx="292">
                  <c:v>-426.15515637003625</c:v>
                </c:pt>
                <c:pt idx="293">
                  <c:v>-424.15145603573217</c:v>
                </c:pt>
                <c:pt idx="294">
                  <c:v>-422.06363729278024</c:v>
                </c:pt>
                <c:pt idx="295">
                  <c:v>-419.89233611099496</c:v>
                </c:pt>
                <c:pt idx="296">
                  <c:v>-417.63821388975009</c:v>
                </c:pt>
                <c:pt idx="297">
                  <c:v>-415.30195725651038</c:v>
                </c:pt>
                <c:pt idx="298">
                  <c:v>-412.88427785767811</c:v>
                </c:pt>
                <c:pt idx="299">
                  <c:v>-410.38591214181884</c:v>
                </c:pt>
                <c:pt idx="300">
                  <c:v>-407.8076211353316</c:v>
                </c:pt>
                <c:pt idx="301">
                  <c:v>-405.1501902106337</c:v>
                </c:pt>
                <c:pt idx="302">
                  <c:v>-402.41442884692788</c:v>
                </c:pt>
                <c:pt idx="303">
                  <c:v>-399.60117038362728</c:v>
                </c:pt>
                <c:pt idx="304">
                  <c:v>-396.7112717665126</c:v>
                </c:pt>
                <c:pt idx="305">
                  <c:v>-393.74561328669756</c:v>
                </c:pt>
                <c:pt idx="306">
                  <c:v>-390.70509831248427</c:v>
                </c:pt>
                <c:pt idx="307">
                  <c:v>-387.59065301418792</c:v>
                </c:pt>
                <c:pt idx="308">
                  <c:v>-384.40322608201654</c:v>
                </c:pt>
                <c:pt idx="309">
                  <c:v>-381.14378843709125</c:v>
                </c:pt>
                <c:pt idx="310">
                  <c:v>-377.81333293569344</c:v>
                </c:pt>
                <c:pt idx="311">
                  <c:v>-374.41287406683171</c:v>
                </c:pt>
                <c:pt idx="312">
                  <c:v>-370.94344764321841</c:v>
                </c:pt>
                <c:pt idx="313">
                  <c:v>-367.4061104857513</c:v>
                </c:pt>
                <c:pt idx="314">
                  <c:v>-363.80194010159551</c:v>
                </c:pt>
                <c:pt idx="315">
                  <c:v>-360.13203435596427</c:v>
                </c:pt>
                <c:pt idx="316">
                  <c:v>-356.39751113769927</c:v>
                </c:pt>
                <c:pt idx="317">
                  <c:v>-352.59950801874948</c:v>
                </c:pt>
                <c:pt idx="318">
                  <c:v>-348.73918190765744</c:v>
                </c:pt>
                <c:pt idx="319">
                  <c:v>-344.81770869715223</c:v>
                </c:pt>
                <c:pt idx="320">
                  <c:v>-340.83628290596187</c:v>
                </c:pt>
                <c:pt idx="321">
                  <c:v>-336.79611731495135</c:v>
                </c:pt>
                <c:pt idx="322">
                  <c:v>-332.69844259769764</c:v>
                </c:pt>
                <c:pt idx="323">
                  <c:v>-328.54450694561444</c:v>
                </c:pt>
                <c:pt idx="324">
                  <c:v>-324.33557568774199</c:v>
                </c:pt>
                <c:pt idx="325">
                  <c:v>-320.07293090531391</c:v>
                </c:pt>
                <c:pt idx="326">
                  <c:v>-315.75787104122423</c:v>
                </c:pt>
                <c:pt idx="327">
                  <c:v>-311.39171050450807</c:v>
                </c:pt>
                <c:pt idx="328">
                  <c:v>-306.97577926996178</c:v>
                </c:pt>
                <c:pt idx="329">
                  <c:v>-302.51142247301635</c:v>
                </c:pt>
                <c:pt idx="330">
                  <c:v>-298.00000000000011</c:v>
                </c:pt>
                <c:pt idx="331">
                  <c:v>-293.44288607390104</c:v>
                </c:pt>
                <c:pt idx="332">
                  <c:v>-288.84146883576727</c:v>
                </c:pt>
                <c:pt idx="333">
                  <c:v>-284.19714992186408</c:v>
                </c:pt>
                <c:pt idx="334">
                  <c:v>-279.51134403672313</c:v>
                </c:pt>
                <c:pt idx="335">
                  <c:v>-274.78547852220998</c:v>
                </c:pt>
                <c:pt idx="336">
                  <c:v>-270.02099292274005</c:v>
                </c:pt>
                <c:pt idx="337">
                  <c:v>-265.21933854678241</c:v>
                </c:pt>
                <c:pt idx="338">
                  <c:v>-260.38197802477373</c:v>
                </c:pt>
                <c:pt idx="339">
                  <c:v>-255.51038486359022</c:v>
                </c:pt>
                <c:pt idx="340">
                  <c:v>-250.60604299770057</c:v>
                </c:pt>
                <c:pt idx="341">
                  <c:v>-245.67044633714727</c:v>
                </c:pt>
                <c:pt idx="342">
                  <c:v>-240.70509831248427</c:v>
                </c:pt>
                <c:pt idx="343">
                  <c:v>-235.71151141682088</c:v>
                </c:pt>
                <c:pt idx="344">
                  <c:v>-230.69120674509992</c:v>
                </c:pt>
                <c:pt idx="345">
                  <c:v>-225.64571353075621</c:v>
                </c:pt>
                <c:pt idx="346">
                  <c:v>-220.57656867990036</c:v>
                </c:pt>
                <c:pt idx="347">
                  <c:v>-215.48531630315961</c:v>
                </c:pt>
                <c:pt idx="348">
                  <c:v>-210.37350724532797</c:v>
                </c:pt>
                <c:pt idx="349">
                  <c:v>-205.24269861296341</c:v>
                </c:pt>
                <c:pt idx="350">
                  <c:v>-200.09445330007938</c:v>
                </c:pt>
                <c:pt idx="351">
                  <c:v>-194.93033951206934</c:v>
                </c:pt>
                <c:pt idx="352">
                  <c:v>-189.75193028801976</c:v>
                </c:pt>
                <c:pt idx="353">
                  <c:v>-184.56080302154444</c:v>
                </c:pt>
                <c:pt idx="354">
                  <c:v>-179.35853898029603</c:v>
                </c:pt>
                <c:pt idx="355">
                  <c:v>-174.14672282429748</c:v>
                </c:pt>
                <c:pt idx="356">
                  <c:v>-168.92694212323744</c:v>
                </c:pt>
                <c:pt idx="357">
                  <c:v>-163.7007868728833</c:v>
                </c:pt>
                <c:pt idx="358">
                  <c:v>-158.46984901075024</c:v>
                </c:pt>
                <c:pt idx="359">
                  <c:v>-153.23572193118534</c:v>
                </c:pt>
                <c:pt idx="360">
                  <c:v>-148.00000000000009</c:v>
                </c:pt>
              </c:numCache>
            </c:numRef>
          </c:xVal>
          <c:yVal>
            <c:numRef>
              <c:f>Aufsicht!$Y$10:$Y$370</c:f>
              <c:numCache>
                <c:formatCode>General</c:formatCode>
                <c:ptCount val="361"/>
                <c:pt idx="0">
                  <c:v>300</c:v>
                </c:pt>
                <c:pt idx="1">
                  <c:v>299.95430854691739</c:v>
                </c:pt>
                <c:pt idx="2">
                  <c:v>299.81724810572871</c:v>
                </c:pt>
                <c:pt idx="3">
                  <c:v>299.58886042637215</c:v>
                </c:pt>
                <c:pt idx="4">
                  <c:v>299.26921507794725</c:v>
                </c:pt>
                <c:pt idx="5">
                  <c:v>298.85840942752367</c:v>
                </c:pt>
                <c:pt idx="6">
                  <c:v>298.35656861048199</c:v>
                </c:pt>
                <c:pt idx="7">
                  <c:v>297.76384549239657</c:v>
                </c:pt>
                <c:pt idx="8">
                  <c:v>297.08042062247108</c:v>
                </c:pt>
                <c:pt idx="9">
                  <c:v>296.30650217854134</c:v>
                </c:pt>
                <c:pt idx="10">
                  <c:v>295.44232590366238</c:v>
                </c:pt>
                <c:pt idx="11">
                  <c:v>294.48815503429921</c:v>
                </c:pt>
                <c:pt idx="12">
                  <c:v>293.44428022014171</c:v>
                </c:pt>
                <c:pt idx="13">
                  <c:v>292.31101943557059</c:v>
                </c:pt>
                <c:pt idx="14">
                  <c:v>291.08871788279896</c:v>
                </c:pt>
                <c:pt idx="15">
                  <c:v>289.77774788672048</c:v>
                </c:pt>
                <c:pt idx="16">
                  <c:v>288.37850878149567</c:v>
                </c:pt>
                <c:pt idx="17">
                  <c:v>286.89142678891062</c:v>
                </c:pt>
                <c:pt idx="18">
                  <c:v>285.31695488854604</c:v>
                </c:pt>
                <c:pt idx="19">
                  <c:v>283.65557267979506</c:v>
                </c:pt>
                <c:pt idx="20">
                  <c:v>281.90778623577251</c:v>
                </c:pt>
                <c:pt idx="21">
                  <c:v>280.07412794916053</c:v>
                </c:pt>
                <c:pt idx="22">
                  <c:v>278.15515637003625</c:v>
                </c:pt>
                <c:pt idx="23">
                  <c:v>276.15145603573211</c:v>
                </c:pt>
                <c:pt idx="24">
                  <c:v>274.06363729278024</c:v>
                </c:pt>
                <c:pt idx="25">
                  <c:v>271.89233611099496</c:v>
                </c:pt>
                <c:pt idx="26">
                  <c:v>269.63821388975009</c:v>
                </c:pt>
                <c:pt idx="27">
                  <c:v>267.30195725651038</c:v>
                </c:pt>
                <c:pt idx="28">
                  <c:v>264.88427785767811</c:v>
                </c:pt>
                <c:pt idx="29">
                  <c:v>262.38591214181872</c:v>
                </c:pt>
                <c:pt idx="30">
                  <c:v>259.8076211353316</c:v>
                </c:pt>
                <c:pt idx="31">
                  <c:v>257.1501902106337</c:v>
                </c:pt>
                <c:pt idx="32">
                  <c:v>254.41442884692779</c:v>
                </c:pt>
                <c:pt idx="33">
                  <c:v>251.60117038362722</c:v>
                </c:pt>
                <c:pt idx="34">
                  <c:v>248.71127176651248</c:v>
                </c:pt>
                <c:pt idx="35">
                  <c:v>245.74561328669753</c:v>
                </c:pt>
                <c:pt idx="36">
                  <c:v>242.70509831248424</c:v>
                </c:pt>
                <c:pt idx="37">
                  <c:v>239.59065301418784</c:v>
                </c:pt>
                <c:pt idx="38">
                  <c:v>236.4032260820166</c:v>
                </c:pt>
                <c:pt idx="39">
                  <c:v>233.14378843709127</c:v>
                </c:pt>
                <c:pt idx="40">
                  <c:v>229.81333293569341</c:v>
                </c:pt>
                <c:pt idx="41">
                  <c:v>226.41287406683165</c:v>
                </c:pt>
                <c:pt idx="42">
                  <c:v>222.94344764321826</c:v>
                </c:pt>
                <c:pt idx="43">
                  <c:v>219.40611048575119</c:v>
                </c:pt>
                <c:pt idx="44">
                  <c:v>215.80194010159536</c:v>
                </c:pt>
                <c:pt idx="45">
                  <c:v>212.13203435596427</c:v>
                </c:pt>
                <c:pt idx="46">
                  <c:v>208.39751113769921</c:v>
                </c:pt>
                <c:pt idx="47">
                  <c:v>204.59950801874953</c:v>
                </c:pt>
                <c:pt idx="48">
                  <c:v>200.73918190765747</c:v>
                </c:pt>
                <c:pt idx="49">
                  <c:v>196.81770869715217</c:v>
                </c:pt>
                <c:pt idx="50">
                  <c:v>192.83628290596181</c:v>
                </c:pt>
                <c:pt idx="51">
                  <c:v>188.79611731495126</c:v>
                </c:pt>
                <c:pt idx="52">
                  <c:v>184.69844259769749</c:v>
                </c:pt>
                <c:pt idx="53">
                  <c:v>180.5445069456145</c:v>
                </c:pt>
                <c:pt idx="54">
                  <c:v>176.33557568774194</c:v>
                </c:pt>
                <c:pt idx="55">
                  <c:v>172.07293090531385</c:v>
                </c:pt>
                <c:pt idx="56">
                  <c:v>167.75787104122404</c:v>
                </c:pt>
                <c:pt idx="57">
                  <c:v>163.39171050450815</c:v>
                </c:pt>
                <c:pt idx="58">
                  <c:v>158.97577926996146</c:v>
                </c:pt>
                <c:pt idx="59">
                  <c:v>154.51142247301632</c:v>
                </c:pt>
                <c:pt idx="60">
                  <c:v>150.00000000000003</c:v>
                </c:pt>
                <c:pt idx="61">
                  <c:v>145.44288607390112</c:v>
                </c:pt>
                <c:pt idx="62">
                  <c:v>140.84146883576724</c:v>
                </c:pt>
                <c:pt idx="63">
                  <c:v>136.19714992186405</c:v>
                </c:pt>
                <c:pt idx="64">
                  <c:v>131.51134403672324</c:v>
                </c:pt>
                <c:pt idx="65">
                  <c:v>126.78547852220983</c:v>
                </c:pt>
                <c:pt idx="66">
                  <c:v>122.02099292274006</c:v>
                </c:pt>
                <c:pt idx="67">
                  <c:v>117.21933854678218</c:v>
                </c:pt>
                <c:pt idx="68">
                  <c:v>112.38197802477359</c:v>
                </c:pt>
                <c:pt idx="69">
                  <c:v>107.51038486359012</c:v>
                </c:pt>
                <c:pt idx="70">
                  <c:v>102.60604299770064</c:v>
                </c:pt>
                <c:pt idx="71">
                  <c:v>97.670446337147027</c:v>
                </c:pt>
                <c:pt idx="72">
                  <c:v>92.705098312484239</c:v>
                </c:pt>
                <c:pt idx="73">
                  <c:v>87.711511416821025</c:v>
                </c:pt>
                <c:pt idx="74">
                  <c:v>82.691206745099748</c:v>
                </c:pt>
                <c:pt idx="75">
                  <c:v>77.645713530756225</c:v>
                </c:pt>
                <c:pt idx="76">
                  <c:v>72.576568679900376</c:v>
                </c:pt>
                <c:pt idx="77">
                  <c:v>67.485316303159479</c:v>
                </c:pt>
                <c:pt idx="78">
                  <c:v>62.373507245327836</c:v>
                </c:pt>
                <c:pt idx="79">
                  <c:v>57.242698612963473</c:v>
                </c:pt>
                <c:pt idx="80">
                  <c:v>52.094453300079124</c:v>
                </c:pt>
                <c:pt idx="81">
                  <c:v>46.930339512069274</c:v>
                </c:pt>
                <c:pt idx="82">
                  <c:v>41.751930288019707</c:v>
                </c:pt>
                <c:pt idx="83">
                  <c:v>36.560803021544245</c:v>
                </c:pt>
                <c:pt idx="84">
                  <c:v>31.358538980296036</c:v>
                </c:pt>
                <c:pt idx="85">
                  <c:v>26.146722824297441</c:v>
                </c:pt>
                <c:pt idx="86">
                  <c:v>20.926942123237637</c:v>
                </c:pt>
                <c:pt idx="87">
                  <c:v>15.700786872883191</c:v>
                </c:pt>
                <c:pt idx="88">
                  <c:v>10.469849010750323</c:v>
                </c:pt>
                <c:pt idx="89">
                  <c:v>5.2357219311850125</c:v>
                </c:pt>
                <c:pt idx="90">
                  <c:v>1.83772268236293E-14</c:v>
                </c:pt>
                <c:pt idx="91">
                  <c:v>-5.2357219311850427</c:v>
                </c:pt>
                <c:pt idx="92">
                  <c:v>-10.46984901075022</c:v>
                </c:pt>
                <c:pt idx="93">
                  <c:v>-15.700786872883086</c:v>
                </c:pt>
                <c:pt idx="94">
                  <c:v>-20.926942123237598</c:v>
                </c:pt>
                <c:pt idx="95">
                  <c:v>-26.14672282429747</c:v>
                </c:pt>
                <c:pt idx="96">
                  <c:v>-31.358538980296</c:v>
                </c:pt>
                <c:pt idx="97">
                  <c:v>-36.56080302154421</c:v>
                </c:pt>
                <c:pt idx="98">
                  <c:v>-41.751930288019608</c:v>
                </c:pt>
                <c:pt idx="99">
                  <c:v>-46.93033951206931</c:v>
                </c:pt>
                <c:pt idx="100">
                  <c:v>-52.094453300079088</c:v>
                </c:pt>
                <c:pt idx="101">
                  <c:v>-57.242698612963444</c:v>
                </c:pt>
                <c:pt idx="102">
                  <c:v>-62.373507245327737</c:v>
                </c:pt>
                <c:pt idx="103">
                  <c:v>-67.485316303159436</c:v>
                </c:pt>
                <c:pt idx="104">
                  <c:v>-72.576568679900333</c:v>
                </c:pt>
                <c:pt idx="105">
                  <c:v>-77.645713530756254</c:v>
                </c:pt>
                <c:pt idx="106">
                  <c:v>-82.69120674509972</c:v>
                </c:pt>
                <c:pt idx="107">
                  <c:v>-87.711511416820997</c:v>
                </c:pt>
                <c:pt idx="108">
                  <c:v>-92.705098312484196</c:v>
                </c:pt>
                <c:pt idx="109">
                  <c:v>-97.670446337146927</c:v>
                </c:pt>
                <c:pt idx="110">
                  <c:v>-102.60604299770061</c:v>
                </c:pt>
                <c:pt idx="111">
                  <c:v>-107.51038486359008</c:v>
                </c:pt>
                <c:pt idx="112">
                  <c:v>-112.38197802477362</c:v>
                </c:pt>
                <c:pt idx="113">
                  <c:v>-117.21933854678208</c:v>
                </c:pt>
                <c:pt idx="114">
                  <c:v>-122.02099292274001</c:v>
                </c:pt>
                <c:pt idx="115">
                  <c:v>-126.7854785222098</c:v>
                </c:pt>
                <c:pt idx="116">
                  <c:v>-131.51134403672324</c:v>
                </c:pt>
                <c:pt idx="117">
                  <c:v>-136.197149921864</c:v>
                </c:pt>
                <c:pt idx="118">
                  <c:v>-140.84146883576716</c:v>
                </c:pt>
                <c:pt idx="119">
                  <c:v>-145.44288607390109</c:v>
                </c:pt>
                <c:pt idx="120">
                  <c:v>-149.99999999999994</c:v>
                </c:pt>
                <c:pt idx="121">
                  <c:v>-154.51142247301627</c:v>
                </c:pt>
                <c:pt idx="122">
                  <c:v>-158.97577926996144</c:v>
                </c:pt>
                <c:pt idx="123">
                  <c:v>-163.39171050450813</c:v>
                </c:pt>
                <c:pt idx="124">
                  <c:v>-167.75787104122401</c:v>
                </c:pt>
                <c:pt idx="125">
                  <c:v>-172.07293090531374</c:v>
                </c:pt>
                <c:pt idx="126">
                  <c:v>-176.33557568774191</c:v>
                </c:pt>
                <c:pt idx="127">
                  <c:v>-180.5445069456145</c:v>
                </c:pt>
                <c:pt idx="128">
                  <c:v>-184.69844259769749</c:v>
                </c:pt>
                <c:pt idx="129">
                  <c:v>-188.79611731495118</c:v>
                </c:pt>
                <c:pt idx="130">
                  <c:v>-192.83628290596181</c:v>
                </c:pt>
                <c:pt idx="131">
                  <c:v>-196.81770869715226</c:v>
                </c:pt>
                <c:pt idx="132">
                  <c:v>-200.73918190765747</c:v>
                </c:pt>
                <c:pt idx="133">
                  <c:v>-204.5995080187495</c:v>
                </c:pt>
                <c:pt idx="134">
                  <c:v>-208.3975111376991</c:v>
                </c:pt>
                <c:pt idx="135">
                  <c:v>-212.13203435596424</c:v>
                </c:pt>
                <c:pt idx="136">
                  <c:v>-215.80194010159536</c:v>
                </c:pt>
                <c:pt idx="137">
                  <c:v>-219.40611048575113</c:v>
                </c:pt>
                <c:pt idx="138">
                  <c:v>-222.94344764321821</c:v>
                </c:pt>
                <c:pt idx="139">
                  <c:v>-226.41287406683159</c:v>
                </c:pt>
                <c:pt idx="140">
                  <c:v>-229.81333293569338</c:v>
                </c:pt>
                <c:pt idx="141">
                  <c:v>-233.14378843709122</c:v>
                </c:pt>
                <c:pt idx="142">
                  <c:v>-236.40322608201657</c:v>
                </c:pt>
                <c:pt idx="143">
                  <c:v>-239.59065301418789</c:v>
                </c:pt>
                <c:pt idx="144">
                  <c:v>-242.70509831248421</c:v>
                </c:pt>
                <c:pt idx="145">
                  <c:v>-245.74561328669748</c:v>
                </c:pt>
                <c:pt idx="146">
                  <c:v>-248.71127176651248</c:v>
                </c:pt>
                <c:pt idx="147">
                  <c:v>-251.60117038362725</c:v>
                </c:pt>
                <c:pt idx="148">
                  <c:v>-254.41442884692779</c:v>
                </c:pt>
                <c:pt idx="149">
                  <c:v>-257.15019021063364</c:v>
                </c:pt>
                <c:pt idx="150">
                  <c:v>-259.8076211353316</c:v>
                </c:pt>
                <c:pt idx="151">
                  <c:v>-262.38591214181872</c:v>
                </c:pt>
                <c:pt idx="152">
                  <c:v>-264.88427785767806</c:v>
                </c:pt>
                <c:pt idx="153">
                  <c:v>-267.30195725651032</c:v>
                </c:pt>
                <c:pt idx="154">
                  <c:v>-269.63821388975009</c:v>
                </c:pt>
                <c:pt idx="155">
                  <c:v>-271.89233611099496</c:v>
                </c:pt>
                <c:pt idx="156">
                  <c:v>-274.06363729278024</c:v>
                </c:pt>
                <c:pt idx="157">
                  <c:v>-276.15145603573205</c:v>
                </c:pt>
                <c:pt idx="158">
                  <c:v>-278.1551563700362</c:v>
                </c:pt>
                <c:pt idx="159">
                  <c:v>-280.07412794916053</c:v>
                </c:pt>
                <c:pt idx="160">
                  <c:v>-281.90778623577251</c:v>
                </c:pt>
                <c:pt idx="161">
                  <c:v>-283.655572679795</c:v>
                </c:pt>
                <c:pt idx="162">
                  <c:v>-285.31695488854604</c:v>
                </c:pt>
                <c:pt idx="163">
                  <c:v>-286.89142678891062</c:v>
                </c:pt>
                <c:pt idx="164">
                  <c:v>-288.37850878149561</c:v>
                </c:pt>
                <c:pt idx="165">
                  <c:v>-289.77774788672048</c:v>
                </c:pt>
                <c:pt idx="166">
                  <c:v>-291.08871788279896</c:v>
                </c:pt>
                <c:pt idx="167">
                  <c:v>-292.31101943557059</c:v>
                </c:pt>
                <c:pt idx="168">
                  <c:v>-293.44428022014171</c:v>
                </c:pt>
                <c:pt idx="169">
                  <c:v>-294.48815503429921</c:v>
                </c:pt>
                <c:pt idx="170">
                  <c:v>-295.44232590366238</c:v>
                </c:pt>
                <c:pt idx="171">
                  <c:v>-296.30650217854128</c:v>
                </c:pt>
                <c:pt idx="172">
                  <c:v>-297.08042062247108</c:v>
                </c:pt>
                <c:pt idx="173">
                  <c:v>-297.76384549239657</c:v>
                </c:pt>
                <c:pt idx="174">
                  <c:v>-298.35656861048199</c:v>
                </c:pt>
                <c:pt idx="175">
                  <c:v>-298.85840942752367</c:v>
                </c:pt>
                <c:pt idx="176">
                  <c:v>-299.26921507794725</c:v>
                </c:pt>
                <c:pt idx="177">
                  <c:v>-299.58886042637215</c:v>
                </c:pt>
                <c:pt idx="178">
                  <c:v>-299.81724810572871</c:v>
                </c:pt>
                <c:pt idx="179">
                  <c:v>-299.95430854691739</c:v>
                </c:pt>
                <c:pt idx="180">
                  <c:v>-300</c:v>
                </c:pt>
                <c:pt idx="181">
                  <c:v>-299.95430854691739</c:v>
                </c:pt>
                <c:pt idx="182">
                  <c:v>-299.81724810572871</c:v>
                </c:pt>
                <c:pt idx="183">
                  <c:v>-299.58886042637215</c:v>
                </c:pt>
                <c:pt idx="184">
                  <c:v>-299.26921507794731</c:v>
                </c:pt>
                <c:pt idx="185">
                  <c:v>-298.85840942752367</c:v>
                </c:pt>
                <c:pt idx="186">
                  <c:v>-298.35656861048204</c:v>
                </c:pt>
                <c:pt idx="187">
                  <c:v>-297.76384549239657</c:v>
                </c:pt>
                <c:pt idx="188">
                  <c:v>-297.08042062247108</c:v>
                </c:pt>
                <c:pt idx="189">
                  <c:v>-296.30650217854134</c:v>
                </c:pt>
                <c:pt idx="190">
                  <c:v>-295.44232590366238</c:v>
                </c:pt>
                <c:pt idx="191">
                  <c:v>-294.48815503429921</c:v>
                </c:pt>
                <c:pt idx="192">
                  <c:v>-293.44428022014171</c:v>
                </c:pt>
                <c:pt idx="193">
                  <c:v>-292.31101943557059</c:v>
                </c:pt>
                <c:pt idx="194">
                  <c:v>-291.08871788279896</c:v>
                </c:pt>
                <c:pt idx="195">
                  <c:v>-289.77774788672053</c:v>
                </c:pt>
                <c:pt idx="196">
                  <c:v>-288.37850878149567</c:v>
                </c:pt>
                <c:pt idx="197">
                  <c:v>-286.89142678891068</c:v>
                </c:pt>
                <c:pt idx="198">
                  <c:v>-285.31695488854604</c:v>
                </c:pt>
                <c:pt idx="199">
                  <c:v>-283.655572679795</c:v>
                </c:pt>
                <c:pt idx="200">
                  <c:v>-281.90778623577251</c:v>
                </c:pt>
                <c:pt idx="201">
                  <c:v>-280.07412794916053</c:v>
                </c:pt>
                <c:pt idx="202">
                  <c:v>-278.15515637003625</c:v>
                </c:pt>
                <c:pt idx="203">
                  <c:v>-276.15145603573211</c:v>
                </c:pt>
                <c:pt idx="204">
                  <c:v>-274.0636372927803</c:v>
                </c:pt>
                <c:pt idx="205">
                  <c:v>-271.89233611099502</c:v>
                </c:pt>
                <c:pt idx="206">
                  <c:v>-269.63821388975015</c:v>
                </c:pt>
                <c:pt idx="207">
                  <c:v>-267.30195725651043</c:v>
                </c:pt>
                <c:pt idx="208">
                  <c:v>-264.88427785767806</c:v>
                </c:pt>
                <c:pt idx="209">
                  <c:v>-262.38591214181878</c:v>
                </c:pt>
                <c:pt idx="210">
                  <c:v>-259.8076211353316</c:v>
                </c:pt>
                <c:pt idx="211">
                  <c:v>-257.1501902106337</c:v>
                </c:pt>
                <c:pt idx="212">
                  <c:v>-254.41442884692782</c:v>
                </c:pt>
                <c:pt idx="213">
                  <c:v>-251.60117038362722</c:v>
                </c:pt>
                <c:pt idx="214">
                  <c:v>-248.71127176651257</c:v>
                </c:pt>
                <c:pt idx="215">
                  <c:v>-245.74561328669762</c:v>
                </c:pt>
                <c:pt idx="216">
                  <c:v>-242.70509831248427</c:v>
                </c:pt>
                <c:pt idx="217">
                  <c:v>-239.59065301418792</c:v>
                </c:pt>
                <c:pt idx="218">
                  <c:v>-236.40322608201666</c:v>
                </c:pt>
                <c:pt idx="219">
                  <c:v>-233.14378843709125</c:v>
                </c:pt>
                <c:pt idx="220">
                  <c:v>-229.81333293569341</c:v>
                </c:pt>
                <c:pt idx="221">
                  <c:v>-226.41287406683156</c:v>
                </c:pt>
                <c:pt idx="222">
                  <c:v>-222.94344764321826</c:v>
                </c:pt>
                <c:pt idx="223">
                  <c:v>-219.40611048575119</c:v>
                </c:pt>
                <c:pt idx="224">
                  <c:v>-215.80194010159533</c:v>
                </c:pt>
                <c:pt idx="225">
                  <c:v>-212.13203435596429</c:v>
                </c:pt>
                <c:pt idx="226">
                  <c:v>-208.39751113769927</c:v>
                </c:pt>
                <c:pt idx="227">
                  <c:v>-204.59950801874967</c:v>
                </c:pt>
                <c:pt idx="228">
                  <c:v>-200.73918190765752</c:v>
                </c:pt>
                <c:pt idx="229">
                  <c:v>-196.81770869715228</c:v>
                </c:pt>
                <c:pt idx="230">
                  <c:v>-192.83628290596184</c:v>
                </c:pt>
                <c:pt idx="231">
                  <c:v>-188.79611731495115</c:v>
                </c:pt>
                <c:pt idx="232">
                  <c:v>-184.69844259769741</c:v>
                </c:pt>
                <c:pt idx="233">
                  <c:v>-180.54450694561447</c:v>
                </c:pt>
                <c:pt idx="234">
                  <c:v>-176.33557568774197</c:v>
                </c:pt>
                <c:pt idx="235">
                  <c:v>-172.07293090531391</c:v>
                </c:pt>
                <c:pt idx="236">
                  <c:v>-167.75787104122418</c:v>
                </c:pt>
                <c:pt idx="237">
                  <c:v>-163.3917105045081</c:v>
                </c:pt>
                <c:pt idx="238">
                  <c:v>-158.97577926996149</c:v>
                </c:pt>
                <c:pt idx="239">
                  <c:v>-154.51142247301635</c:v>
                </c:pt>
                <c:pt idx="240">
                  <c:v>-150.00000000000014</c:v>
                </c:pt>
                <c:pt idx="241">
                  <c:v>-145.44288607390106</c:v>
                </c:pt>
                <c:pt idx="242">
                  <c:v>-140.84146883576722</c:v>
                </c:pt>
                <c:pt idx="243">
                  <c:v>-136.19714992186408</c:v>
                </c:pt>
                <c:pt idx="244">
                  <c:v>-131.51134403672333</c:v>
                </c:pt>
                <c:pt idx="245">
                  <c:v>-126.78547852220998</c:v>
                </c:pt>
                <c:pt idx="246">
                  <c:v>-122.02099292274004</c:v>
                </c:pt>
                <c:pt idx="247">
                  <c:v>-117.21933854678215</c:v>
                </c:pt>
                <c:pt idx="248">
                  <c:v>-112.38197802477369</c:v>
                </c:pt>
                <c:pt idx="249">
                  <c:v>-107.51038486359022</c:v>
                </c:pt>
                <c:pt idx="250">
                  <c:v>-102.60604299770081</c:v>
                </c:pt>
                <c:pt idx="251">
                  <c:v>-97.670446337146998</c:v>
                </c:pt>
                <c:pt idx="252">
                  <c:v>-92.705098312484267</c:v>
                </c:pt>
                <c:pt idx="253">
                  <c:v>-87.711511416821125</c:v>
                </c:pt>
                <c:pt idx="254">
                  <c:v>-82.691206745099663</c:v>
                </c:pt>
                <c:pt idx="255">
                  <c:v>-77.645713530756183</c:v>
                </c:pt>
                <c:pt idx="256">
                  <c:v>-72.576568679900333</c:v>
                </c:pt>
                <c:pt idx="257">
                  <c:v>-67.485316303159578</c:v>
                </c:pt>
                <c:pt idx="258">
                  <c:v>-62.373507245327936</c:v>
                </c:pt>
                <c:pt idx="259">
                  <c:v>-57.242698612963643</c:v>
                </c:pt>
                <c:pt idx="260">
                  <c:v>-52.094453300079103</c:v>
                </c:pt>
                <c:pt idx="261">
                  <c:v>-46.93033951206931</c:v>
                </c:pt>
                <c:pt idx="262">
                  <c:v>-41.75193028801948</c:v>
                </c:pt>
                <c:pt idx="263">
                  <c:v>-36.560803021544153</c:v>
                </c:pt>
                <c:pt idx="264">
                  <c:v>-31.358538980296007</c:v>
                </c:pt>
                <c:pt idx="265">
                  <c:v>-26.146722824297473</c:v>
                </c:pt>
                <c:pt idx="266">
                  <c:v>-20.926942123237673</c:v>
                </c:pt>
                <c:pt idx="267">
                  <c:v>-15.700786872883292</c:v>
                </c:pt>
                <c:pt idx="268">
                  <c:v>-10.469849010750496</c:v>
                </c:pt>
                <c:pt idx="269">
                  <c:v>-5.2357219311850489</c:v>
                </c:pt>
                <c:pt idx="270">
                  <c:v>-5.51316804708879E-14</c:v>
                </c:pt>
                <c:pt idx="271">
                  <c:v>5.2357219311849388</c:v>
                </c:pt>
                <c:pt idx="272">
                  <c:v>10.469849010750384</c:v>
                </c:pt>
                <c:pt idx="273">
                  <c:v>15.700786872883183</c:v>
                </c:pt>
                <c:pt idx="274">
                  <c:v>20.926942123237566</c:v>
                </c:pt>
                <c:pt idx="275">
                  <c:v>26.146722824297367</c:v>
                </c:pt>
                <c:pt idx="276">
                  <c:v>31.358538980295897</c:v>
                </c:pt>
                <c:pt idx="277">
                  <c:v>36.560803021544302</c:v>
                </c:pt>
                <c:pt idx="278">
                  <c:v>41.751930288019636</c:v>
                </c:pt>
                <c:pt idx="279">
                  <c:v>46.930339512069203</c:v>
                </c:pt>
                <c:pt idx="280">
                  <c:v>52.094453300078989</c:v>
                </c:pt>
                <c:pt idx="281">
                  <c:v>57.242698612963274</c:v>
                </c:pt>
                <c:pt idx="282">
                  <c:v>62.373507245327566</c:v>
                </c:pt>
                <c:pt idx="283">
                  <c:v>67.485316303159479</c:v>
                </c:pt>
                <c:pt idx="284">
                  <c:v>72.576568679900234</c:v>
                </c:pt>
                <c:pt idx="285">
                  <c:v>77.645713530756339</c:v>
                </c:pt>
                <c:pt idx="286">
                  <c:v>82.691206745099819</c:v>
                </c:pt>
                <c:pt idx="287">
                  <c:v>87.711511416821011</c:v>
                </c:pt>
                <c:pt idx="288">
                  <c:v>92.705098312484168</c:v>
                </c:pt>
                <c:pt idx="289">
                  <c:v>97.670446337146899</c:v>
                </c:pt>
                <c:pt idx="290">
                  <c:v>102.60604299770044</c:v>
                </c:pt>
                <c:pt idx="291">
                  <c:v>107.51038486358986</c:v>
                </c:pt>
                <c:pt idx="292">
                  <c:v>112.38197802477359</c:v>
                </c:pt>
                <c:pt idx="293">
                  <c:v>117.21933854678205</c:v>
                </c:pt>
                <c:pt idx="294">
                  <c:v>122.02099292274016</c:v>
                </c:pt>
                <c:pt idx="295">
                  <c:v>126.78547852220989</c:v>
                </c:pt>
                <c:pt idx="296">
                  <c:v>131.51134403672322</c:v>
                </c:pt>
                <c:pt idx="297">
                  <c:v>136.197149921864</c:v>
                </c:pt>
                <c:pt idx="298">
                  <c:v>140.84146883576713</c:v>
                </c:pt>
                <c:pt idx="299">
                  <c:v>145.44288607390095</c:v>
                </c:pt>
                <c:pt idx="300">
                  <c:v>150.00000000000003</c:v>
                </c:pt>
                <c:pt idx="301">
                  <c:v>154.51142247301624</c:v>
                </c:pt>
                <c:pt idx="302">
                  <c:v>158.97577926996141</c:v>
                </c:pt>
                <c:pt idx="303">
                  <c:v>163.39171050450798</c:v>
                </c:pt>
                <c:pt idx="304">
                  <c:v>167.75787104122386</c:v>
                </c:pt>
                <c:pt idx="305">
                  <c:v>172.07293090531383</c:v>
                </c:pt>
                <c:pt idx="306">
                  <c:v>176.33557568774188</c:v>
                </c:pt>
                <c:pt idx="307">
                  <c:v>180.54450694561439</c:v>
                </c:pt>
                <c:pt idx="308">
                  <c:v>184.69844259769755</c:v>
                </c:pt>
                <c:pt idx="309">
                  <c:v>188.79611731495126</c:v>
                </c:pt>
                <c:pt idx="310">
                  <c:v>192.83628290596178</c:v>
                </c:pt>
                <c:pt idx="311">
                  <c:v>196.81770869715211</c:v>
                </c:pt>
                <c:pt idx="312">
                  <c:v>200.73918190765733</c:v>
                </c:pt>
                <c:pt idx="313">
                  <c:v>204.59950801874942</c:v>
                </c:pt>
                <c:pt idx="314">
                  <c:v>208.39751113769898</c:v>
                </c:pt>
                <c:pt idx="315">
                  <c:v>212.13203435596421</c:v>
                </c:pt>
                <c:pt idx="316">
                  <c:v>215.80194010159525</c:v>
                </c:pt>
                <c:pt idx="317">
                  <c:v>219.40611048575121</c:v>
                </c:pt>
                <c:pt idx="318">
                  <c:v>222.94344764321826</c:v>
                </c:pt>
                <c:pt idx="319">
                  <c:v>226.41287406683156</c:v>
                </c:pt>
                <c:pt idx="320">
                  <c:v>229.81333293569332</c:v>
                </c:pt>
                <c:pt idx="321">
                  <c:v>233.14378843709116</c:v>
                </c:pt>
                <c:pt idx="322">
                  <c:v>236.40322608201646</c:v>
                </c:pt>
                <c:pt idx="323">
                  <c:v>239.59065301418784</c:v>
                </c:pt>
                <c:pt idx="324">
                  <c:v>242.70509831248421</c:v>
                </c:pt>
                <c:pt idx="325">
                  <c:v>245.74561328669748</c:v>
                </c:pt>
                <c:pt idx="326">
                  <c:v>248.71127176651243</c:v>
                </c:pt>
                <c:pt idx="327">
                  <c:v>251.60117038362722</c:v>
                </c:pt>
                <c:pt idx="328">
                  <c:v>254.41442884692762</c:v>
                </c:pt>
                <c:pt idx="329">
                  <c:v>257.15019021063364</c:v>
                </c:pt>
                <c:pt idx="330">
                  <c:v>259.80762113533149</c:v>
                </c:pt>
                <c:pt idx="331">
                  <c:v>262.38591214181878</c:v>
                </c:pt>
                <c:pt idx="332">
                  <c:v>264.88427785767806</c:v>
                </c:pt>
                <c:pt idx="333">
                  <c:v>267.30195725651032</c:v>
                </c:pt>
                <c:pt idx="334">
                  <c:v>269.63821388975015</c:v>
                </c:pt>
                <c:pt idx="335">
                  <c:v>271.8923361109949</c:v>
                </c:pt>
                <c:pt idx="336">
                  <c:v>274.0636372927803</c:v>
                </c:pt>
                <c:pt idx="337">
                  <c:v>276.151456035732</c:v>
                </c:pt>
                <c:pt idx="338">
                  <c:v>278.1551563700362</c:v>
                </c:pt>
                <c:pt idx="339">
                  <c:v>280.07412794916047</c:v>
                </c:pt>
                <c:pt idx="340">
                  <c:v>281.90778623577251</c:v>
                </c:pt>
                <c:pt idx="341">
                  <c:v>283.65557267979494</c:v>
                </c:pt>
                <c:pt idx="342">
                  <c:v>285.31695488854604</c:v>
                </c:pt>
                <c:pt idx="343">
                  <c:v>286.89142678891068</c:v>
                </c:pt>
                <c:pt idx="344">
                  <c:v>288.37850878149561</c:v>
                </c:pt>
                <c:pt idx="345">
                  <c:v>289.77774788672048</c:v>
                </c:pt>
                <c:pt idx="346">
                  <c:v>291.08871788279896</c:v>
                </c:pt>
                <c:pt idx="347">
                  <c:v>292.31101943557053</c:v>
                </c:pt>
                <c:pt idx="348">
                  <c:v>293.44428022014165</c:v>
                </c:pt>
                <c:pt idx="349">
                  <c:v>294.48815503429921</c:v>
                </c:pt>
                <c:pt idx="350">
                  <c:v>295.44232590366238</c:v>
                </c:pt>
                <c:pt idx="351">
                  <c:v>296.30650217854128</c:v>
                </c:pt>
                <c:pt idx="352">
                  <c:v>297.08042062247108</c:v>
                </c:pt>
                <c:pt idx="353">
                  <c:v>297.76384549239657</c:v>
                </c:pt>
                <c:pt idx="354">
                  <c:v>298.35656861048199</c:v>
                </c:pt>
                <c:pt idx="355">
                  <c:v>298.85840942752367</c:v>
                </c:pt>
                <c:pt idx="356">
                  <c:v>299.26921507794731</c:v>
                </c:pt>
                <c:pt idx="357">
                  <c:v>299.58886042637215</c:v>
                </c:pt>
                <c:pt idx="358">
                  <c:v>299.81724810572871</c:v>
                </c:pt>
                <c:pt idx="359">
                  <c:v>299.95430854691739</c:v>
                </c:pt>
                <c:pt idx="360">
                  <c:v>300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7D5-4879-B749-AC6AAB384502}"/>
            </c:ext>
          </c:extLst>
        </c:ser>
        <c:ser>
          <c:idx val="3"/>
          <c:order val="3"/>
          <c:tx>
            <c:strRef>
              <c:f>Aufsicht!$AH$8</c:f>
              <c:strCache>
                <c:ptCount val="1"/>
                <c:pt idx="0">
                  <c:v>1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Aufsicht!$AK$8:$AK$9</c:f>
            </c:numRef>
          </c:xVal>
          <c:yVal>
            <c:numRef>
              <c:f>Aufsicht!$AL$8:$AL$9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C7D5-4879-B749-AC6AAB384502}"/>
            </c:ext>
          </c:extLst>
        </c:ser>
        <c:ser>
          <c:idx val="4"/>
          <c:order val="4"/>
          <c:tx>
            <c:strRef>
              <c:f>Aufsicht!$AH$10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strRef>
              <c:f>Aufsicht!$AK$10:$AK$11</c:f>
              <c:strCache>
                <c:ptCount val="2"/>
                <c:pt idx="1">
                  <c:v>#NV</c:v>
                </c:pt>
              </c:strCache>
            </c:strRef>
          </c:xVal>
          <c:yVal>
            <c:numRef>
              <c:f>Aufsicht!$AL$10:$AL$11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C7D5-4879-B749-AC6AAB384502}"/>
            </c:ext>
          </c:extLst>
        </c:ser>
        <c:ser>
          <c:idx val="5"/>
          <c:order val="5"/>
          <c:tx>
            <c:strRef>
              <c:f>Aufsicht!$AH$12</c:f>
              <c:strCache>
                <c:ptCount val="1"/>
                <c:pt idx="0">
                  <c:v>3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Aufsicht!$AK$12:$AK$13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Aufsicht!$AL$12:$AL$13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C7D5-4879-B749-AC6AAB384502}"/>
            </c:ext>
          </c:extLst>
        </c:ser>
        <c:ser>
          <c:idx val="6"/>
          <c:order val="6"/>
          <c:tx>
            <c:strRef>
              <c:f>Aufsicht!$AH$14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Aufsicht!$AK$14:$AK$15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Aufsicht!$AL$14:$AL$15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C7D5-4879-B749-AC6AAB384502}"/>
            </c:ext>
          </c:extLst>
        </c:ser>
        <c:ser>
          <c:idx val="7"/>
          <c:order val="7"/>
          <c:tx>
            <c:strRef>
              <c:f>Aufsicht!$AH$16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Aufsicht!$AK$16:$AK$17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Aufsicht!$AL$16:$AL$17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C7D5-4879-B749-AC6AAB384502}"/>
            </c:ext>
          </c:extLst>
        </c:ser>
        <c:ser>
          <c:idx val="8"/>
          <c:order val="8"/>
          <c:tx>
            <c:strRef>
              <c:f>Aufsicht!$AH$18</c:f>
              <c:strCache>
                <c:ptCount val="1"/>
                <c:pt idx="0">
                  <c:v>6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Aufsicht!$AK$18:$AK$19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Aufsicht!$AL$18:$AL$19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C7D5-4879-B749-AC6AAB384502}"/>
            </c:ext>
          </c:extLst>
        </c:ser>
        <c:ser>
          <c:idx val="9"/>
          <c:order val="9"/>
          <c:tx>
            <c:strRef>
              <c:f>Aufsicht!$AH$20</c:f>
              <c:strCache>
                <c:ptCount val="1"/>
                <c:pt idx="0">
                  <c:v>7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Aufsicht!$AK$20:$AK$21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Aufsicht!$AL$20:$AL$21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C7D5-4879-B749-AC6AAB384502}"/>
            </c:ext>
          </c:extLst>
        </c:ser>
        <c:ser>
          <c:idx val="10"/>
          <c:order val="10"/>
          <c:tx>
            <c:strRef>
              <c:f>Aufsicht!$AH$22</c:f>
              <c:strCache>
                <c:ptCount val="1"/>
                <c:pt idx="0">
                  <c:v>8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Aufsicht!$AK$22:$AK$23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Aufsicht!$AL$22:$AL$23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C7D5-4879-B749-AC6AAB384502}"/>
            </c:ext>
          </c:extLst>
        </c:ser>
        <c:ser>
          <c:idx val="11"/>
          <c:order val="11"/>
          <c:tx>
            <c:strRef>
              <c:f>Aufsicht!$AH$24</c:f>
              <c:strCache>
                <c:ptCount val="1"/>
                <c:pt idx="0">
                  <c:v>El Rohr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rgbClr val="0070C0"/>
                </a:solidFill>
                <a:prstDash val="sysDash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7D5-4879-B749-AC6AAB384502}"/>
              </c:ext>
            </c:extLst>
          </c:dPt>
          <c:xVal>
            <c:numRef>
              <c:f>Aufsicht!$AK$24:$AK$25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Aufsicht!$AL$24:$AL$25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C7D5-4879-B749-AC6AAB384502}"/>
            </c:ext>
          </c:extLst>
        </c:ser>
        <c:ser>
          <c:idx val="12"/>
          <c:order val="12"/>
          <c:tx>
            <c:v>Einlauffrei1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Aufsicht!$AZ$11:$AZ$189</c:f>
              <c:numCache>
                <c:formatCode>General</c:formatCode>
                <c:ptCount val="179"/>
                <c:pt idx="0">
                  <c:v>699.89338660947385</c:v>
                </c:pt>
                <c:pt idx="1">
                  <c:v>699.57357891336699</c:v>
                </c:pt>
                <c:pt idx="2">
                  <c:v>699.0406743282017</c:v>
                </c:pt>
                <c:pt idx="3">
                  <c:v>698.29483518187692</c:v>
                </c:pt>
                <c:pt idx="4">
                  <c:v>697.33628866422191</c:v>
                </c:pt>
                <c:pt idx="5">
                  <c:v>696.16532675779126</c:v>
                </c:pt>
                <c:pt idx="6">
                  <c:v>694.78230614892539</c:v>
                </c:pt>
                <c:pt idx="7">
                  <c:v>693.18764811909921</c:v>
                </c:pt>
                <c:pt idx="8">
                  <c:v>691.38183841659645</c:v>
                </c:pt>
                <c:pt idx="9">
                  <c:v>689.36542710854565</c:v>
                </c:pt>
                <c:pt idx="10">
                  <c:v>687.13902841336483</c:v>
                </c:pt>
                <c:pt idx="11">
                  <c:v>684.70332051366404</c:v>
                </c:pt>
                <c:pt idx="12">
                  <c:v>682.05904534966464</c:v>
                </c:pt>
                <c:pt idx="13">
                  <c:v>679.2070083931975</c:v>
                </c:pt>
                <c:pt idx="14">
                  <c:v>676.14807840234778</c:v>
                </c:pt>
                <c:pt idx="15">
                  <c:v>672.88318715682317</c:v>
                </c:pt>
                <c:pt idx="16">
                  <c:v>669.41332917412478</c:v>
                </c:pt>
                <c:pt idx="17">
                  <c:v>665.73956140660744</c:v>
                </c:pt>
                <c:pt idx="18">
                  <c:v>661.86300291952182</c:v>
                </c:pt>
                <c:pt idx="19">
                  <c:v>657.78483455013588</c:v>
                </c:pt>
                <c:pt idx="20">
                  <c:v>653.50629854804117</c:v>
                </c:pt>
                <c:pt idx="21">
                  <c:v>649.02869819675118</c:v>
                </c:pt>
                <c:pt idx="22">
                  <c:v>644.35339741670828</c:v>
                </c:pt>
                <c:pt idx="23">
                  <c:v>639.48182034982062</c:v>
                </c:pt>
                <c:pt idx="24">
                  <c:v>634.41545092565491</c:v>
                </c:pt>
                <c:pt idx="25">
                  <c:v>629.15583240941692</c:v>
                </c:pt>
                <c:pt idx="26">
                  <c:v>623.70456693185758</c:v>
                </c:pt>
                <c:pt idx="27">
                  <c:v>618.06331500124884</c:v>
                </c:pt>
                <c:pt idx="28">
                  <c:v>612.23379499757698</c:v>
                </c:pt>
                <c:pt idx="29">
                  <c:v>606.21778264910711</c:v>
                </c:pt>
                <c:pt idx="30">
                  <c:v>600.01711049147866</c:v>
                </c:pt>
                <c:pt idx="31">
                  <c:v>593.63366730949815</c:v>
                </c:pt>
                <c:pt idx="32">
                  <c:v>587.06939756179679</c:v>
                </c:pt>
                <c:pt idx="33">
                  <c:v>580.32630078852912</c:v>
                </c:pt>
                <c:pt idx="34">
                  <c:v>573.40643100229431</c:v>
                </c:pt>
                <c:pt idx="35">
                  <c:v>566.31189606246323</c:v>
                </c:pt>
                <c:pt idx="36">
                  <c:v>559.04485703310502</c:v>
                </c:pt>
                <c:pt idx="37">
                  <c:v>551.60752752470546</c:v>
                </c:pt>
                <c:pt idx="38">
                  <c:v>544.00217301987959</c:v>
                </c:pt>
                <c:pt idx="39">
                  <c:v>536.23111018328461</c:v>
                </c:pt>
                <c:pt idx="40">
                  <c:v>528.29670615594046</c:v>
                </c:pt>
                <c:pt idx="41">
                  <c:v>520.20137783417601</c:v>
                </c:pt>
                <c:pt idx="42">
                  <c:v>511.94759113341939</c:v>
                </c:pt>
                <c:pt idx="43">
                  <c:v>503.53786023705584</c:v>
                </c:pt>
                <c:pt idx="44">
                  <c:v>494.97474683058329</c:v>
                </c:pt>
                <c:pt idx="45">
                  <c:v>494.97474683058329</c:v>
                </c:pt>
                <c:pt idx="46">
                  <c:v>494.97474683058329</c:v>
                </c:pt>
                <c:pt idx="47">
                  <c:v>494.97474683058329</c:v>
                </c:pt>
                <c:pt idx="48">
                  <c:v>494.97474683058329</c:v>
                </c:pt>
                <c:pt idx="49">
                  <c:v>494.97474683058329</c:v>
                </c:pt>
                <c:pt idx="50">
                  <c:v>494.97474683058329</c:v>
                </c:pt>
                <c:pt idx="51">
                  <c:v>494.97474683058329</c:v>
                </c:pt>
                <c:pt idx="52">
                  <c:v>494.97474683058329</c:v>
                </c:pt>
                <c:pt idx="53">
                  <c:v>494.97474683058329</c:v>
                </c:pt>
                <c:pt idx="54">
                  <c:v>494.97474683058329</c:v>
                </c:pt>
                <c:pt idx="55">
                  <c:v>494.97474683058329</c:v>
                </c:pt>
                <c:pt idx="56">
                  <c:v>494.97474683058329</c:v>
                </c:pt>
                <c:pt idx="57">
                  <c:v>494.97474683058329</c:v>
                </c:pt>
                <c:pt idx="58">
                  <c:v>494.97474683058329</c:v>
                </c:pt>
                <c:pt idx="59">
                  <c:v>494.97474683058329</c:v>
                </c:pt>
                <c:pt idx="60">
                  <c:v>494.97474683058329</c:v>
                </c:pt>
                <c:pt idx="61">
                  <c:v>494.97474683058329</c:v>
                </c:pt>
                <c:pt idx="62">
                  <c:v>494.97474683058329</c:v>
                </c:pt>
                <c:pt idx="63">
                  <c:v>494.97474683058329</c:v>
                </c:pt>
                <c:pt idx="64">
                  <c:v>494.97474683058329</c:v>
                </c:pt>
                <c:pt idx="65">
                  <c:v>494.97474683058329</c:v>
                </c:pt>
                <c:pt idx="66">
                  <c:v>494.97474683058329</c:v>
                </c:pt>
                <c:pt idx="67">
                  <c:v>494.97474683058329</c:v>
                </c:pt>
                <c:pt idx="68">
                  <c:v>494.97474683058329</c:v>
                </c:pt>
                <c:pt idx="69">
                  <c:v>494.97474683058329</c:v>
                </c:pt>
                <c:pt idx="70">
                  <c:v>494.97474683058329</c:v>
                </c:pt>
                <c:pt idx="71">
                  <c:v>494.97474683058329</c:v>
                </c:pt>
                <c:pt idx="72">
                  <c:v>494.97474683058329</c:v>
                </c:pt>
                <c:pt idx="73">
                  <c:v>494.97474683058329</c:v>
                </c:pt>
                <c:pt idx="74">
                  <c:v>494.97474683058329</c:v>
                </c:pt>
                <c:pt idx="75">
                  <c:v>494.97474683058329</c:v>
                </c:pt>
                <c:pt idx="76">
                  <c:v>494.97474683058329</c:v>
                </c:pt>
                <c:pt idx="77">
                  <c:v>494.97474683058329</c:v>
                </c:pt>
                <c:pt idx="78">
                  <c:v>494.97474683058329</c:v>
                </c:pt>
                <c:pt idx="79">
                  <c:v>494.97474683058329</c:v>
                </c:pt>
                <c:pt idx="80">
                  <c:v>494.97474683058329</c:v>
                </c:pt>
                <c:pt idx="81">
                  <c:v>494.97474683058329</c:v>
                </c:pt>
                <c:pt idx="82">
                  <c:v>494.97474683058329</c:v>
                </c:pt>
                <c:pt idx="83">
                  <c:v>494.97474683058329</c:v>
                </c:pt>
                <c:pt idx="84">
                  <c:v>494.97474683058329</c:v>
                </c:pt>
                <c:pt idx="85">
                  <c:v>494.97474683058329</c:v>
                </c:pt>
                <c:pt idx="86">
                  <c:v>494.97474683058329</c:v>
                </c:pt>
                <c:pt idx="87">
                  <c:v>494.97474683058329</c:v>
                </c:pt>
                <c:pt idx="88">
                  <c:v>494.97474683058329</c:v>
                </c:pt>
                <c:pt idx="89">
                  <c:v>494.97474683058329</c:v>
                </c:pt>
                <c:pt idx="90">
                  <c:v>494.97474683058329</c:v>
                </c:pt>
                <c:pt idx="91">
                  <c:v>494.97474683058329</c:v>
                </c:pt>
                <c:pt idx="92">
                  <c:v>494.97474683058329</c:v>
                </c:pt>
                <c:pt idx="93">
                  <c:v>494.97474683058329</c:v>
                </c:pt>
                <c:pt idx="94">
                  <c:v>494.97474683058329</c:v>
                </c:pt>
                <c:pt idx="95">
                  <c:v>494.97474683058329</c:v>
                </c:pt>
                <c:pt idx="96">
                  <c:v>494.97474683058329</c:v>
                </c:pt>
                <c:pt idx="97">
                  <c:v>494.97474683058329</c:v>
                </c:pt>
                <c:pt idx="98">
                  <c:v>494.97474683058329</c:v>
                </c:pt>
                <c:pt idx="99">
                  <c:v>494.97474683058329</c:v>
                </c:pt>
                <c:pt idx="100">
                  <c:v>494.97474683058329</c:v>
                </c:pt>
                <c:pt idx="101">
                  <c:v>494.97474683058329</c:v>
                </c:pt>
                <c:pt idx="102">
                  <c:v>494.97474683058329</c:v>
                </c:pt>
                <c:pt idx="103">
                  <c:v>494.97474683058329</c:v>
                </c:pt>
                <c:pt idx="104">
                  <c:v>494.97474683058329</c:v>
                </c:pt>
                <c:pt idx="105">
                  <c:v>494.97474683058329</c:v>
                </c:pt>
                <c:pt idx="106">
                  <c:v>494.97474683058329</c:v>
                </c:pt>
                <c:pt idx="107">
                  <c:v>494.97474683058329</c:v>
                </c:pt>
                <c:pt idx="108">
                  <c:v>494.97474683058329</c:v>
                </c:pt>
                <c:pt idx="109">
                  <c:v>494.97474683058329</c:v>
                </c:pt>
                <c:pt idx="110">
                  <c:v>494.97474683058329</c:v>
                </c:pt>
                <c:pt idx="111">
                  <c:v>494.97474683058329</c:v>
                </c:pt>
                <c:pt idx="112">
                  <c:v>494.97474683058329</c:v>
                </c:pt>
                <c:pt idx="113">
                  <c:v>494.97474683058329</c:v>
                </c:pt>
                <c:pt idx="114">
                  <c:v>494.97474683058329</c:v>
                </c:pt>
                <c:pt idx="115">
                  <c:v>494.97474683058329</c:v>
                </c:pt>
                <c:pt idx="116">
                  <c:v>494.97474683058329</c:v>
                </c:pt>
                <c:pt idx="117">
                  <c:v>494.97474683058329</c:v>
                </c:pt>
                <c:pt idx="118">
                  <c:v>494.97474683058329</c:v>
                </c:pt>
                <c:pt idx="119">
                  <c:v>494.97474683058329</c:v>
                </c:pt>
                <c:pt idx="120">
                  <c:v>494.97474683058329</c:v>
                </c:pt>
                <c:pt idx="121">
                  <c:v>494.97474683058329</c:v>
                </c:pt>
                <c:pt idx="122">
                  <c:v>494.97474683058329</c:v>
                </c:pt>
                <c:pt idx="123">
                  <c:v>494.97474683058329</c:v>
                </c:pt>
                <c:pt idx="124">
                  <c:v>494.97474683058329</c:v>
                </c:pt>
                <c:pt idx="125">
                  <c:v>494.97474683058329</c:v>
                </c:pt>
                <c:pt idx="126">
                  <c:v>494.97474683058329</c:v>
                </c:pt>
                <c:pt idx="127">
                  <c:v>494.97474683058329</c:v>
                </c:pt>
                <c:pt idx="128">
                  <c:v>494.97474683058329</c:v>
                </c:pt>
                <c:pt idx="129">
                  <c:v>494.97474683058329</c:v>
                </c:pt>
                <c:pt idx="130">
                  <c:v>494.97474683058329</c:v>
                </c:pt>
                <c:pt idx="131">
                  <c:v>494.97474683058329</c:v>
                </c:pt>
                <c:pt idx="132">
                  <c:v>494.97474683058329</c:v>
                </c:pt>
                <c:pt idx="133">
                  <c:v>494.97474683058329</c:v>
                </c:pt>
                <c:pt idx="134">
                  <c:v>494.97474683058329</c:v>
                </c:pt>
                <c:pt idx="135">
                  <c:v>494.97474683058329</c:v>
                </c:pt>
                <c:pt idx="136">
                  <c:v>494.97474683058329</c:v>
                </c:pt>
                <c:pt idx="137">
                  <c:v>494.97474683058329</c:v>
                </c:pt>
                <c:pt idx="138">
                  <c:v>494.97474683058329</c:v>
                </c:pt>
                <c:pt idx="139">
                  <c:v>494.97474683058329</c:v>
                </c:pt>
                <c:pt idx="140">
                  <c:v>494.97474683058329</c:v>
                </c:pt>
                <c:pt idx="141">
                  <c:v>494.97474683058329</c:v>
                </c:pt>
                <c:pt idx="142">
                  <c:v>494.97474683058329</c:v>
                </c:pt>
                <c:pt idx="143">
                  <c:v>494.97474683058329</c:v>
                </c:pt>
                <c:pt idx="144">
                  <c:v>494.97474683058329</c:v>
                </c:pt>
                <c:pt idx="145">
                  <c:v>494.97474683058329</c:v>
                </c:pt>
                <c:pt idx="146">
                  <c:v>494.97474683058329</c:v>
                </c:pt>
                <c:pt idx="147">
                  <c:v>494.97474683058329</c:v>
                </c:pt>
                <c:pt idx="148">
                  <c:v>494.97474683058329</c:v>
                </c:pt>
                <c:pt idx="149">
                  <c:v>494.97474683058329</c:v>
                </c:pt>
                <c:pt idx="150">
                  <c:v>494.97474683058329</c:v>
                </c:pt>
                <c:pt idx="151">
                  <c:v>494.97474683058329</c:v>
                </c:pt>
                <c:pt idx="152">
                  <c:v>494.97474683058329</c:v>
                </c:pt>
                <c:pt idx="153">
                  <c:v>494.97474683058329</c:v>
                </c:pt>
                <c:pt idx="154">
                  <c:v>494.97474683058329</c:v>
                </c:pt>
                <c:pt idx="155">
                  <c:v>494.97474683058329</c:v>
                </c:pt>
                <c:pt idx="156">
                  <c:v>494.97474683058329</c:v>
                </c:pt>
                <c:pt idx="157">
                  <c:v>494.97474683058329</c:v>
                </c:pt>
                <c:pt idx="158">
                  <c:v>494.97474683058329</c:v>
                </c:pt>
                <c:pt idx="159">
                  <c:v>494.97474683058329</c:v>
                </c:pt>
                <c:pt idx="160">
                  <c:v>494.97474683058329</c:v>
                </c:pt>
                <c:pt idx="161">
                  <c:v>494.97474683058329</c:v>
                </c:pt>
                <c:pt idx="162">
                  <c:v>494.97474683058329</c:v>
                </c:pt>
                <c:pt idx="163">
                  <c:v>494.97474683058329</c:v>
                </c:pt>
                <c:pt idx="164">
                  <c:v>494.97474683058329</c:v>
                </c:pt>
                <c:pt idx="165">
                  <c:v>494.97474683058329</c:v>
                </c:pt>
                <c:pt idx="166">
                  <c:v>494.97474683058329</c:v>
                </c:pt>
                <c:pt idx="167">
                  <c:v>494.97474683058329</c:v>
                </c:pt>
                <c:pt idx="168">
                  <c:v>494.97474683058329</c:v>
                </c:pt>
                <c:pt idx="169">
                  <c:v>494.97474683058329</c:v>
                </c:pt>
                <c:pt idx="170">
                  <c:v>494.97474683058329</c:v>
                </c:pt>
                <c:pt idx="171">
                  <c:v>494.97474683058329</c:v>
                </c:pt>
                <c:pt idx="172">
                  <c:v>494.97474683058329</c:v>
                </c:pt>
                <c:pt idx="173">
                  <c:v>494.97474683058329</c:v>
                </c:pt>
                <c:pt idx="174">
                  <c:v>494.97474683058329</c:v>
                </c:pt>
                <c:pt idx="175">
                  <c:v>494.97474683058329</c:v>
                </c:pt>
                <c:pt idx="176">
                  <c:v>494.97474683058329</c:v>
                </c:pt>
                <c:pt idx="177">
                  <c:v>494.97474683058329</c:v>
                </c:pt>
                <c:pt idx="178">
                  <c:v>494.97474683058329</c:v>
                </c:pt>
              </c:numCache>
            </c:numRef>
          </c:xVal>
          <c:yVal>
            <c:numRef>
              <c:f>Aufsicht!$BA$11:$BA$189</c:f>
              <c:numCache>
                <c:formatCode>General</c:formatCode>
                <c:ptCount val="179"/>
                <c:pt idx="0">
                  <c:v>12.216684506098458</c:v>
                </c:pt>
                <c:pt idx="1">
                  <c:v>24.429647691750677</c:v>
                </c:pt>
                <c:pt idx="2">
                  <c:v>36.63516937006068</c:v>
                </c:pt>
                <c:pt idx="3">
                  <c:v>48.829531620887714</c:v>
                </c:pt>
                <c:pt idx="4">
                  <c:v>61.009019923360718</c:v>
                </c:pt>
                <c:pt idx="5">
                  <c:v>73.169924287357418</c:v>
                </c:pt>
                <c:pt idx="6">
                  <c:v>85.30854038360323</c:v>
                </c:pt>
                <c:pt idx="7">
                  <c:v>97.421170672045804</c:v>
                </c:pt>
                <c:pt idx="8">
                  <c:v>109.50412552816161</c:v>
                </c:pt>
                <c:pt idx="9">
                  <c:v>121.55372436685123</c:v>
                </c:pt>
                <c:pt idx="10">
                  <c:v>133.56629676358136</c:v>
                </c:pt>
                <c:pt idx="11">
                  <c:v>145.53818357243151</c:v>
                </c:pt>
                <c:pt idx="12">
                  <c:v>157.4657380407055</c:v>
                </c:pt>
                <c:pt idx="13">
                  <c:v>169.34532691976742</c:v>
                </c:pt>
                <c:pt idx="14">
                  <c:v>181.17333157176452</c:v>
                </c:pt>
                <c:pt idx="15">
                  <c:v>192.94614907189941</c:v>
                </c:pt>
                <c:pt idx="16">
                  <c:v>204.66019330591573</c:v>
                </c:pt>
                <c:pt idx="17">
                  <c:v>216.31189606246318</c:v>
                </c:pt>
                <c:pt idx="18">
                  <c:v>227.89770812000964</c:v>
                </c:pt>
                <c:pt idx="19">
                  <c:v>239.4141003279681</c:v>
                </c:pt>
                <c:pt idx="20">
                  <c:v>250.85756468171019</c:v>
                </c:pt>
                <c:pt idx="21">
                  <c:v>262.2246153911384</c:v>
                </c:pt>
                <c:pt idx="22">
                  <c:v>273.51178994249159</c:v>
                </c:pt>
                <c:pt idx="23">
                  <c:v>284.7156501530601</c:v>
                </c:pt>
                <c:pt idx="24">
                  <c:v>295.83278321848962</c:v>
                </c:pt>
                <c:pt idx="25">
                  <c:v>306.8598027523542</c:v>
                </c:pt>
                <c:pt idx="26">
                  <c:v>317.79334981768272</c:v>
                </c:pt>
                <c:pt idx="27">
                  <c:v>328.63009395012358</c:v>
                </c:pt>
                <c:pt idx="28">
                  <c:v>339.36673417243594</c:v>
                </c:pt>
                <c:pt idx="29">
                  <c:v>349.99999999999994</c:v>
                </c:pt>
                <c:pt idx="30">
                  <c:v>360.52665243703791</c:v>
                </c:pt>
                <c:pt idx="31">
                  <c:v>370.94348496324341</c:v>
                </c:pt>
                <c:pt idx="32">
                  <c:v>381.24732451051898</c:v>
                </c:pt>
                <c:pt idx="33">
                  <c:v>391.43503242952283</c:v>
                </c:pt>
                <c:pt idx="34">
                  <c:v>401.50350544573223</c:v>
                </c:pt>
                <c:pt idx="35">
                  <c:v>411.44967660473122</c:v>
                </c:pt>
                <c:pt idx="36">
                  <c:v>421.2705162064338</c:v>
                </c:pt>
                <c:pt idx="37">
                  <c:v>430.96303272796075</c:v>
                </c:pt>
                <c:pt idx="38">
                  <c:v>440.52427373488615</c:v>
                </c:pt>
                <c:pt idx="39">
                  <c:v>449.95132678057746</c:v>
                </c:pt>
                <c:pt idx="40">
                  <c:v>459.24132029335499</c:v>
                </c:pt>
                <c:pt idx="41">
                  <c:v>468.39142445120075</c:v>
                </c:pt>
                <c:pt idx="42">
                  <c:v>477.39885204374895</c:v>
                </c:pt>
                <c:pt idx="43">
                  <c:v>486.26085932129808</c:v>
                </c:pt>
                <c:pt idx="44">
                  <c:v>494.97474683058323</c:v>
                </c:pt>
                <c:pt idx="45">
                  <c:v>494.97474683058323</c:v>
                </c:pt>
                <c:pt idx="46">
                  <c:v>494.97474683058323</c:v>
                </c:pt>
                <c:pt idx="47">
                  <c:v>494.97474683058323</c:v>
                </c:pt>
                <c:pt idx="48">
                  <c:v>494.97474683058323</c:v>
                </c:pt>
                <c:pt idx="49">
                  <c:v>494.97474683058323</c:v>
                </c:pt>
                <c:pt idx="50">
                  <c:v>494.97474683058323</c:v>
                </c:pt>
                <c:pt idx="51">
                  <c:v>494.97474683058323</c:v>
                </c:pt>
                <c:pt idx="52">
                  <c:v>494.97474683058323</c:v>
                </c:pt>
                <c:pt idx="53">
                  <c:v>494.97474683058323</c:v>
                </c:pt>
                <c:pt idx="54">
                  <c:v>494.97474683058323</c:v>
                </c:pt>
                <c:pt idx="55">
                  <c:v>494.97474683058323</c:v>
                </c:pt>
                <c:pt idx="56">
                  <c:v>494.97474683058323</c:v>
                </c:pt>
                <c:pt idx="57">
                  <c:v>494.97474683058323</c:v>
                </c:pt>
                <c:pt idx="58">
                  <c:v>494.97474683058323</c:v>
                </c:pt>
                <c:pt idx="59">
                  <c:v>494.97474683058323</c:v>
                </c:pt>
                <c:pt idx="60">
                  <c:v>494.97474683058323</c:v>
                </c:pt>
                <c:pt idx="61">
                  <c:v>494.97474683058323</c:v>
                </c:pt>
                <c:pt idx="62">
                  <c:v>494.97474683058323</c:v>
                </c:pt>
                <c:pt idx="63">
                  <c:v>494.97474683058323</c:v>
                </c:pt>
                <c:pt idx="64">
                  <c:v>494.97474683058323</c:v>
                </c:pt>
                <c:pt idx="65">
                  <c:v>494.97474683058323</c:v>
                </c:pt>
                <c:pt idx="66">
                  <c:v>494.97474683058323</c:v>
                </c:pt>
                <c:pt idx="67">
                  <c:v>494.97474683058323</c:v>
                </c:pt>
                <c:pt idx="68">
                  <c:v>494.97474683058323</c:v>
                </c:pt>
                <c:pt idx="69">
                  <c:v>494.97474683058323</c:v>
                </c:pt>
                <c:pt idx="70">
                  <c:v>494.97474683058323</c:v>
                </c:pt>
                <c:pt idx="71">
                  <c:v>494.97474683058323</c:v>
                </c:pt>
                <c:pt idx="72">
                  <c:v>494.97474683058323</c:v>
                </c:pt>
                <c:pt idx="73">
                  <c:v>494.97474683058323</c:v>
                </c:pt>
                <c:pt idx="74">
                  <c:v>494.97474683058323</c:v>
                </c:pt>
                <c:pt idx="75">
                  <c:v>494.97474683058323</c:v>
                </c:pt>
                <c:pt idx="76">
                  <c:v>494.97474683058323</c:v>
                </c:pt>
                <c:pt idx="77">
                  <c:v>494.97474683058323</c:v>
                </c:pt>
                <c:pt idx="78">
                  <c:v>494.97474683058323</c:v>
                </c:pt>
                <c:pt idx="79">
                  <c:v>494.97474683058323</c:v>
                </c:pt>
                <c:pt idx="80">
                  <c:v>494.97474683058323</c:v>
                </c:pt>
                <c:pt idx="81">
                  <c:v>494.97474683058323</c:v>
                </c:pt>
                <c:pt idx="82">
                  <c:v>494.97474683058323</c:v>
                </c:pt>
                <c:pt idx="83">
                  <c:v>494.97474683058323</c:v>
                </c:pt>
                <c:pt idx="84">
                  <c:v>494.97474683058323</c:v>
                </c:pt>
                <c:pt idx="85">
                  <c:v>494.97474683058323</c:v>
                </c:pt>
                <c:pt idx="86">
                  <c:v>494.97474683058323</c:v>
                </c:pt>
                <c:pt idx="87">
                  <c:v>494.97474683058323</c:v>
                </c:pt>
                <c:pt idx="88">
                  <c:v>494.97474683058323</c:v>
                </c:pt>
                <c:pt idx="89">
                  <c:v>494.97474683058323</c:v>
                </c:pt>
                <c:pt idx="90">
                  <c:v>494.97474683058323</c:v>
                </c:pt>
                <c:pt idx="91">
                  <c:v>494.97474683058323</c:v>
                </c:pt>
                <c:pt idx="92">
                  <c:v>494.97474683058323</c:v>
                </c:pt>
                <c:pt idx="93">
                  <c:v>494.97474683058323</c:v>
                </c:pt>
                <c:pt idx="94">
                  <c:v>494.97474683058323</c:v>
                </c:pt>
                <c:pt idx="95">
                  <c:v>494.97474683058323</c:v>
                </c:pt>
                <c:pt idx="96">
                  <c:v>494.97474683058323</c:v>
                </c:pt>
                <c:pt idx="97">
                  <c:v>494.97474683058323</c:v>
                </c:pt>
                <c:pt idx="98">
                  <c:v>494.97474683058323</c:v>
                </c:pt>
                <c:pt idx="99">
                  <c:v>494.97474683058323</c:v>
                </c:pt>
                <c:pt idx="100">
                  <c:v>494.97474683058323</c:v>
                </c:pt>
                <c:pt idx="101">
                  <c:v>494.97474683058323</c:v>
                </c:pt>
                <c:pt idx="102">
                  <c:v>494.97474683058323</c:v>
                </c:pt>
                <c:pt idx="103">
                  <c:v>494.97474683058323</c:v>
                </c:pt>
                <c:pt idx="104">
                  <c:v>494.97474683058323</c:v>
                </c:pt>
                <c:pt idx="105">
                  <c:v>494.97474683058323</c:v>
                </c:pt>
                <c:pt idx="106">
                  <c:v>494.97474683058323</c:v>
                </c:pt>
                <c:pt idx="107">
                  <c:v>494.97474683058323</c:v>
                </c:pt>
                <c:pt idx="108">
                  <c:v>494.97474683058323</c:v>
                </c:pt>
                <c:pt idx="109">
                  <c:v>494.97474683058323</c:v>
                </c:pt>
                <c:pt idx="110">
                  <c:v>494.97474683058323</c:v>
                </c:pt>
                <c:pt idx="111">
                  <c:v>494.97474683058323</c:v>
                </c:pt>
                <c:pt idx="112">
                  <c:v>494.97474683058323</c:v>
                </c:pt>
                <c:pt idx="113">
                  <c:v>494.97474683058323</c:v>
                </c:pt>
                <c:pt idx="114">
                  <c:v>494.97474683058323</c:v>
                </c:pt>
                <c:pt idx="115">
                  <c:v>494.97474683058323</c:v>
                </c:pt>
                <c:pt idx="116">
                  <c:v>494.97474683058323</c:v>
                </c:pt>
                <c:pt idx="117">
                  <c:v>494.97474683058323</c:v>
                </c:pt>
                <c:pt idx="118">
                  <c:v>494.97474683058323</c:v>
                </c:pt>
                <c:pt idx="119">
                  <c:v>494.97474683058323</c:v>
                </c:pt>
                <c:pt idx="120">
                  <c:v>494.97474683058323</c:v>
                </c:pt>
                <c:pt idx="121">
                  <c:v>494.97474683058323</c:v>
                </c:pt>
                <c:pt idx="122">
                  <c:v>494.97474683058323</c:v>
                </c:pt>
                <c:pt idx="123">
                  <c:v>494.97474683058323</c:v>
                </c:pt>
                <c:pt idx="124">
                  <c:v>494.97474683058323</c:v>
                </c:pt>
                <c:pt idx="125">
                  <c:v>494.97474683058323</c:v>
                </c:pt>
                <c:pt idx="126">
                  <c:v>494.97474683058323</c:v>
                </c:pt>
                <c:pt idx="127">
                  <c:v>494.97474683058323</c:v>
                </c:pt>
                <c:pt idx="128">
                  <c:v>494.97474683058323</c:v>
                </c:pt>
                <c:pt idx="129">
                  <c:v>494.97474683058323</c:v>
                </c:pt>
                <c:pt idx="130">
                  <c:v>494.97474683058323</c:v>
                </c:pt>
                <c:pt idx="131">
                  <c:v>494.97474683058323</c:v>
                </c:pt>
                <c:pt idx="132">
                  <c:v>494.97474683058323</c:v>
                </c:pt>
                <c:pt idx="133">
                  <c:v>494.97474683058323</c:v>
                </c:pt>
                <c:pt idx="134">
                  <c:v>494.97474683058323</c:v>
                </c:pt>
                <c:pt idx="135">
                  <c:v>494.97474683058323</c:v>
                </c:pt>
                <c:pt idx="136">
                  <c:v>494.97474683058323</c:v>
                </c:pt>
                <c:pt idx="137">
                  <c:v>494.97474683058323</c:v>
                </c:pt>
                <c:pt idx="138">
                  <c:v>494.97474683058323</c:v>
                </c:pt>
                <c:pt idx="139">
                  <c:v>494.97474683058323</c:v>
                </c:pt>
                <c:pt idx="140">
                  <c:v>494.97474683058323</c:v>
                </c:pt>
                <c:pt idx="141">
                  <c:v>494.97474683058323</c:v>
                </c:pt>
                <c:pt idx="142">
                  <c:v>494.97474683058323</c:v>
                </c:pt>
                <c:pt idx="143">
                  <c:v>494.97474683058323</c:v>
                </c:pt>
                <c:pt idx="144">
                  <c:v>494.97474683058323</c:v>
                </c:pt>
                <c:pt idx="145">
                  <c:v>494.97474683058323</c:v>
                </c:pt>
                <c:pt idx="146">
                  <c:v>494.97474683058323</c:v>
                </c:pt>
                <c:pt idx="147">
                  <c:v>494.97474683058323</c:v>
                </c:pt>
                <c:pt idx="148">
                  <c:v>494.97474683058323</c:v>
                </c:pt>
                <c:pt idx="149">
                  <c:v>494.97474683058323</c:v>
                </c:pt>
                <c:pt idx="150">
                  <c:v>494.97474683058323</c:v>
                </c:pt>
                <c:pt idx="151">
                  <c:v>494.97474683058323</c:v>
                </c:pt>
                <c:pt idx="152">
                  <c:v>494.97474683058323</c:v>
                </c:pt>
                <c:pt idx="153">
                  <c:v>494.97474683058323</c:v>
                </c:pt>
                <c:pt idx="154">
                  <c:v>494.97474683058323</c:v>
                </c:pt>
                <c:pt idx="155">
                  <c:v>494.97474683058323</c:v>
                </c:pt>
                <c:pt idx="156">
                  <c:v>494.97474683058323</c:v>
                </c:pt>
                <c:pt idx="157">
                  <c:v>494.97474683058323</c:v>
                </c:pt>
                <c:pt idx="158">
                  <c:v>494.97474683058323</c:v>
                </c:pt>
                <c:pt idx="159">
                  <c:v>494.97474683058323</c:v>
                </c:pt>
                <c:pt idx="160">
                  <c:v>494.97474683058323</c:v>
                </c:pt>
                <c:pt idx="161">
                  <c:v>494.97474683058323</c:v>
                </c:pt>
                <c:pt idx="162">
                  <c:v>494.97474683058323</c:v>
                </c:pt>
                <c:pt idx="163">
                  <c:v>494.97474683058323</c:v>
                </c:pt>
                <c:pt idx="164">
                  <c:v>494.97474683058323</c:v>
                </c:pt>
                <c:pt idx="165">
                  <c:v>494.97474683058323</c:v>
                </c:pt>
                <c:pt idx="166">
                  <c:v>494.97474683058323</c:v>
                </c:pt>
                <c:pt idx="167">
                  <c:v>494.97474683058323</c:v>
                </c:pt>
                <c:pt idx="168">
                  <c:v>494.97474683058323</c:v>
                </c:pt>
                <c:pt idx="169">
                  <c:v>494.97474683058323</c:v>
                </c:pt>
                <c:pt idx="170">
                  <c:v>494.97474683058323</c:v>
                </c:pt>
                <c:pt idx="171">
                  <c:v>494.97474683058323</c:v>
                </c:pt>
                <c:pt idx="172">
                  <c:v>494.97474683058323</c:v>
                </c:pt>
                <c:pt idx="173">
                  <c:v>494.97474683058323</c:v>
                </c:pt>
                <c:pt idx="174">
                  <c:v>494.97474683058323</c:v>
                </c:pt>
                <c:pt idx="175">
                  <c:v>494.97474683058323</c:v>
                </c:pt>
                <c:pt idx="176">
                  <c:v>494.97474683058323</c:v>
                </c:pt>
                <c:pt idx="177">
                  <c:v>494.97474683058323</c:v>
                </c:pt>
                <c:pt idx="178">
                  <c:v>494.97474683058323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C7D5-4879-B749-AC6AAB384502}"/>
            </c:ext>
          </c:extLst>
        </c:ser>
        <c:ser>
          <c:idx val="13"/>
          <c:order val="13"/>
          <c:tx>
            <c:v>Einlauffrei2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Aufsicht!$AZ$191:$AZ$369</c:f>
              <c:numCache>
                <c:formatCode>General</c:formatCode>
                <c:ptCount val="179"/>
                <c:pt idx="0">
                  <c:v>494.97474683058317</c:v>
                </c:pt>
                <c:pt idx="1">
                  <c:v>494.97474683058317</c:v>
                </c:pt>
                <c:pt idx="2">
                  <c:v>494.97474683058317</c:v>
                </c:pt>
                <c:pt idx="3">
                  <c:v>494.97474683058317</c:v>
                </c:pt>
                <c:pt idx="4">
                  <c:v>494.97474683058317</c:v>
                </c:pt>
                <c:pt idx="5">
                  <c:v>494.97474683058317</c:v>
                </c:pt>
                <c:pt idx="6">
                  <c:v>494.97474683058317</c:v>
                </c:pt>
                <c:pt idx="7">
                  <c:v>494.97474683058317</c:v>
                </c:pt>
                <c:pt idx="8">
                  <c:v>494.97474683058317</c:v>
                </c:pt>
                <c:pt idx="9">
                  <c:v>494.97474683058317</c:v>
                </c:pt>
                <c:pt idx="10">
                  <c:v>494.97474683058317</c:v>
                </c:pt>
                <c:pt idx="11">
                  <c:v>494.97474683058317</c:v>
                </c:pt>
                <c:pt idx="12">
                  <c:v>494.97474683058317</c:v>
                </c:pt>
                <c:pt idx="13">
                  <c:v>494.97474683058317</c:v>
                </c:pt>
                <c:pt idx="14">
                  <c:v>494.97474683058317</c:v>
                </c:pt>
                <c:pt idx="15">
                  <c:v>494.97474683058317</c:v>
                </c:pt>
                <c:pt idx="16">
                  <c:v>494.97474683058317</c:v>
                </c:pt>
                <c:pt idx="17">
                  <c:v>494.97474683058317</c:v>
                </c:pt>
                <c:pt idx="18">
                  <c:v>494.97474683058317</c:v>
                </c:pt>
                <c:pt idx="19">
                  <c:v>494.97474683058317</c:v>
                </c:pt>
                <c:pt idx="20">
                  <c:v>494.97474683058317</c:v>
                </c:pt>
                <c:pt idx="21">
                  <c:v>494.97474683058317</c:v>
                </c:pt>
                <c:pt idx="22">
                  <c:v>494.97474683058317</c:v>
                </c:pt>
                <c:pt idx="23">
                  <c:v>494.97474683058317</c:v>
                </c:pt>
                <c:pt idx="24">
                  <c:v>494.97474683058317</c:v>
                </c:pt>
                <c:pt idx="25">
                  <c:v>494.97474683058317</c:v>
                </c:pt>
                <c:pt idx="26">
                  <c:v>494.97474683058317</c:v>
                </c:pt>
                <c:pt idx="27">
                  <c:v>494.97474683058317</c:v>
                </c:pt>
                <c:pt idx="28">
                  <c:v>494.97474683058317</c:v>
                </c:pt>
                <c:pt idx="29">
                  <c:v>494.97474683058317</c:v>
                </c:pt>
                <c:pt idx="30">
                  <c:v>494.97474683058317</c:v>
                </c:pt>
                <c:pt idx="31">
                  <c:v>494.97474683058317</c:v>
                </c:pt>
                <c:pt idx="32">
                  <c:v>494.97474683058317</c:v>
                </c:pt>
                <c:pt idx="33">
                  <c:v>494.97474683058317</c:v>
                </c:pt>
                <c:pt idx="34">
                  <c:v>494.97474683058317</c:v>
                </c:pt>
                <c:pt idx="35">
                  <c:v>494.97474683058317</c:v>
                </c:pt>
                <c:pt idx="36">
                  <c:v>494.97474683058317</c:v>
                </c:pt>
                <c:pt idx="37">
                  <c:v>494.97474683058317</c:v>
                </c:pt>
                <c:pt idx="38">
                  <c:v>494.97474683058317</c:v>
                </c:pt>
                <c:pt idx="39">
                  <c:v>494.97474683058317</c:v>
                </c:pt>
                <c:pt idx="40">
                  <c:v>494.97474683058317</c:v>
                </c:pt>
                <c:pt idx="41">
                  <c:v>494.97474683058317</c:v>
                </c:pt>
                <c:pt idx="42">
                  <c:v>494.97474683058317</c:v>
                </c:pt>
                <c:pt idx="43">
                  <c:v>494.97474683058317</c:v>
                </c:pt>
                <c:pt idx="44">
                  <c:v>494.97474683058317</c:v>
                </c:pt>
                <c:pt idx="45">
                  <c:v>494.97474683058317</c:v>
                </c:pt>
                <c:pt idx="46">
                  <c:v>494.97474683058317</c:v>
                </c:pt>
                <c:pt idx="47">
                  <c:v>494.97474683058317</c:v>
                </c:pt>
                <c:pt idx="48">
                  <c:v>494.97474683058317</c:v>
                </c:pt>
                <c:pt idx="49">
                  <c:v>494.97474683058317</c:v>
                </c:pt>
                <c:pt idx="50">
                  <c:v>494.97474683058317</c:v>
                </c:pt>
                <c:pt idx="51">
                  <c:v>494.97474683058317</c:v>
                </c:pt>
                <c:pt idx="52">
                  <c:v>494.97474683058317</c:v>
                </c:pt>
                <c:pt idx="53">
                  <c:v>494.97474683058317</c:v>
                </c:pt>
                <c:pt idx="54">
                  <c:v>494.97474683058317</c:v>
                </c:pt>
                <c:pt idx="55">
                  <c:v>494.97474683058317</c:v>
                </c:pt>
                <c:pt idx="56">
                  <c:v>494.97474683058317</c:v>
                </c:pt>
                <c:pt idx="57">
                  <c:v>494.97474683058317</c:v>
                </c:pt>
                <c:pt idx="58">
                  <c:v>494.97474683058317</c:v>
                </c:pt>
                <c:pt idx="59">
                  <c:v>494.97474683058317</c:v>
                </c:pt>
                <c:pt idx="60">
                  <c:v>494.97474683058317</c:v>
                </c:pt>
                <c:pt idx="61">
                  <c:v>494.97474683058317</c:v>
                </c:pt>
                <c:pt idx="62">
                  <c:v>494.97474683058317</c:v>
                </c:pt>
                <c:pt idx="63">
                  <c:v>494.97474683058317</c:v>
                </c:pt>
                <c:pt idx="64">
                  <c:v>494.97474683058317</c:v>
                </c:pt>
                <c:pt idx="65">
                  <c:v>494.97474683058317</c:v>
                </c:pt>
                <c:pt idx="66">
                  <c:v>494.97474683058317</c:v>
                </c:pt>
                <c:pt idx="67">
                  <c:v>494.97474683058317</c:v>
                </c:pt>
                <c:pt idx="68">
                  <c:v>494.97474683058317</c:v>
                </c:pt>
                <c:pt idx="69">
                  <c:v>494.97474683058317</c:v>
                </c:pt>
                <c:pt idx="70">
                  <c:v>494.97474683058317</c:v>
                </c:pt>
                <c:pt idx="71">
                  <c:v>494.97474683058317</c:v>
                </c:pt>
                <c:pt idx="72">
                  <c:v>494.97474683058317</c:v>
                </c:pt>
                <c:pt idx="73">
                  <c:v>494.97474683058317</c:v>
                </c:pt>
                <c:pt idx="74">
                  <c:v>494.97474683058317</c:v>
                </c:pt>
                <c:pt idx="75">
                  <c:v>494.97474683058317</c:v>
                </c:pt>
                <c:pt idx="76">
                  <c:v>494.97474683058317</c:v>
                </c:pt>
                <c:pt idx="77">
                  <c:v>494.97474683058317</c:v>
                </c:pt>
                <c:pt idx="78">
                  <c:v>494.97474683058317</c:v>
                </c:pt>
                <c:pt idx="79">
                  <c:v>494.97474683058317</c:v>
                </c:pt>
                <c:pt idx="80">
                  <c:v>494.97474683058317</c:v>
                </c:pt>
                <c:pt idx="81">
                  <c:v>494.97474683058317</c:v>
                </c:pt>
                <c:pt idx="82">
                  <c:v>494.97474683058317</c:v>
                </c:pt>
                <c:pt idx="83">
                  <c:v>494.97474683058317</c:v>
                </c:pt>
                <c:pt idx="84">
                  <c:v>494.97474683058317</c:v>
                </c:pt>
                <c:pt idx="85">
                  <c:v>494.97474683058317</c:v>
                </c:pt>
                <c:pt idx="86">
                  <c:v>494.97474683058317</c:v>
                </c:pt>
                <c:pt idx="87">
                  <c:v>494.97474683058317</c:v>
                </c:pt>
                <c:pt idx="88">
                  <c:v>494.97474683058317</c:v>
                </c:pt>
                <c:pt idx="89">
                  <c:v>494.97474683058317</c:v>
                </c:pt>
                <c:pt idx="90">
                  <c:v>494.97474683058317</c:v>
                </c:pt>
                <c:pt idx="91">
                  <c:v>494.97474683058317</c:v>
                </c:pt>
                <c:pt idx="92">
                  <c:v>494.97474683058317</c:v>
                </c:pt>
                <c:pt idx="93">
                  <c:v>494.97474683058317</c:v>
                </c:pt>
                <c:pt idx="94">
                  <c:v>494.97474683058317</c:v>
                </c:pt>
                <c:pt idx="95">
                  <c:v>494.97474683058317</c:v>
                </c:pt>
                <c:pt idx="96">
                  <c:v>494.97474683058317</c:v>
                </c:pt>
                <c:pt idx="97">
                  <c:v>494.97474683058317</c:v>
                </c:pt>
                <c:pt idx="98">
                  <c:v>494.97474683058317</c:v>
                </c:pt>
                <c:pt idx="99">
                  <c:v>494.97474683058317</c:v>
                </c:pt>
                <c:pt idx="100">
                  <c:v>494.97474683058317</c:v>
                </c:pt>
                <c:pt idx="101">
                  <c:v>494.97474683058317</c:v>
                </c:pt>
                <c:pt idx="102">
                  <c:v>494.97474683058317</c:v>
                </c:pt>
                <c:pt idx="103">
                  <c:v>494.97474683058317</c:v>
                </c:pt>
                <c:pt idx="104">
                  <c:v>494.97474683058317</c:v>
                </c:pt>
                <c:pt idx="105">
                  <c:v>494.97474683058317</c:v>
                </c:pt>
                <c:pt idx="106">
                  <c:v>494.97474683058317</c:v>
                </c:pt>
                <c:pt idx="107">
                  <c:v>494.97474683058317</c:v>
                </c:pt>
                <c:pt idx="108">
                  <c:v>494.97474683058317</c:v>
                </c:pt>
                <c:pt idx="109">
                  <c:v>494.97474683058317</c:v>
                </c:pt>
                <c:pt idx="110">
                  <c:v>494.97474683058317</c:v>
                </c:pt>
                <c:pt idx="111">
                  <c:v>494.97474683058317</c:v>
                </c:pt>
                <c:pt idx="112">
                  <c:v>494.97474683058317</c:v>
                </c:pt>
                <c:pt idx="113">
                  <c:v>494.97474683058317</c:v>
                </c:pt>
                <c:pt idx="114">
                  <c:v>494.97474683058317</c:v>
                </c:pt>
                <c:pt idx="115">
                  <c:v>494.97474683058317</c:v>
                </c:pt>
                <c:pt idx="116">
                  <c:v>494.97474683058317</c:v>
                </c:pt>
                <c:pt idx="117">
                  <c:v>494.97474683058317</c:v>
                </c:pt>
                <c:pt idx="118">
                  <c:v>494.97474683058317</c:v>
                </c:pt>
                <c:pt idx="119">
                  <c:v>494.97474683058317</c:v>
                </c:pt>
                <c:pt idx="120">
                  <c:v>494.97474683058317</c:v>
                </c:pt>
                <c:pt idx="121">
                  <c:v>494.97474683058317</c:v>
                </c:pt>
                <c:pt idx="122">
                  <c:v>494.97474683058317</c:v>
                </c:pt>
                <c:pt idx="123">
                  <c:v>494.97474683058317</c:v>
                </c:pt>
                <c:pt idx="124">
                  <c:v>494.97474683058317</c:v>
                </c:pt>
                <c:pt idx="125">
                  <c:v>494.97474683058317</c:v>
                </c:pt>
                <c:pt idx="126">
                  <c:v>494.97474683058317</c:v>
                </c:pt>
                <c:pt idx="127">
                  <c:v>494.97474683058317</c:v>
                </c:pt>
                <c:pt idx="128">
                  <c:v>494.97474683058317</c:v>
                </c:pt>
                <c:pt idx="129">
                  <c:v>494.97474683058317</c:v>
                </c:pt>
                <c:pt idx="130">
                  <c:v>494.97474683058317</c:v>
                </c:pt>
                <c:pt idx="131">
                  <c:v>494.97474683058317</c:v>
                </c:pt>
                <c:pt idx="132">
                  <c:v>494.97474683058317</c:v>
                </c:pt>
                <c:pt idx="133">
                  <c:v>494.97474683058317</c:v>
                </c:pt>
                <c:pt idx="134">
                  <c:v>494.97474683058317</c:v>
                </c:pt>
                <c:pt idx="135">
                  <c:v>503.53786023705561</c:v>
                </c:pt>
                <c:pt idx="136">
                  <c:v>511.94759113341945</c:v>
                </c:pt>
                <c:pt idx="137">
                  <c:v>520.20137783417601</c:v>
                </c:pt>
                <c:pt idx="138">
                  <c:v>528.29670615594034</c:v>
                </c:pt>
                <c:pt idx="139">
                  <c:v>536.2311101832845</c:v>
                </c:pt>
                <c:pt idx="140">
                  <c:v>544.00217301987936</c:v>
                </c:pt>
                <c:pt idx="141">
                  <c:v>551.60752752470512</c:v>
                </c:pt>
                <c:pt idx="142">
                  <c:v>559.04485703310502</c:v>
                </c:pt>
                <c:pt idx="143">
                  <c:v>566.31189606246312</c:v>
                </c:pt>
                <c:pt idx="144">
                  <c:v>573.40643100229408</c:v>
                </c:pt>
                <c:pt idx="145">
                  <c:v>580.32630078852901</c:v>
                </c:pt>
                <c:pt idx="146">
                  <c:v>587.06939756179679</c:v>
                </c:pt>
                <c:pt idx="147">
                  <c:v>593.63366730949781</c:v>
                </c:pt>
                <c:pt idx="148">
                  <c:v>600.01711049147843</c:v>
                </c:pt>
                <c:pt idx="149">
                  <c:v>606.21778264910688</c:v>
                </c:pt>
                <c:pt idx="150">
                  <c:v>612.23379499757709</c:v>
                </c:pt>
                <c:pt idx="151">
                  <c:v>618.06331500124884</c:v>
                </c:pt>
                <c:pt idx="152">
                  <c:v>623.70456693185747</c:v>
                </c:pt>
                <c:pt idx="153">
                  <c:v>629.15583240941703</c:v>
                </c:pt>
                <c:pt idx="154">
                  <c:v>634.4154509256548</c:v>
                </c:pt>
                <c:pt idx="155">
                  <c:v>639.48182034982074</c:v>
                </c:pt>
                <c:pt idx="156">
                  <c:v>644.35339741670794</c:v>
                </c:pt>
                <c:pt idx="157">
                  <c:v>649.02869819675107</c:v>
                </c:pt>
                <c:pt idx="158">
                  <c:v>653.50629854804106</c:v>
                </c:pt>
                <c:pt idx="159">
                  <c:v>657.78483455013588</c:v>
                </c:pt>
                <c:pt idx="160">
                  <c:v>661.86300291952159</c:v>
                </c:pt>
                <c:pt idx="161">
                  <c:v>665.73956140660744</c:v>
                </c:pt>
                <c:pt idx="162">
                  <c:v>669.41332917412501</c:v>
                </c:pt>
                <c:pt idx="163">
                  <c:v>672.88318715682306</c:v>
                </c:pt>
                <c:pt idx="164">
                  <c:v>676.14807840234778</c:v>
                </c:pt>
                <c:pt idx="165">
                  <c:v>679.2070083931975</c:v>
                </c:pt>
                <c:pt idx="166">
                  <c:v>682.05904534966464</c:v>
                </c:pt>
                <c:pt idx="167">
                  <c:v>684.70332051366393</c:v>
                </c:pt>
                <c:pt idx="168">
                  <c:v>687.13902841336483</c:v>
                </c:pt>
                <c:pt idx="169">
                  <c:v>689.36542710854553</c:v>
                </c:pt>
                <c:pt idx="170">
                  <c:v>691.38183841659634</c:v>
                </c:pt>
                <c:pt idx="171">
                  <c:v>693.18764811909921</c:v>
                </c:pt>
                <c:pt idx="172">
                  <c:v>694.78230614892539</c:v>
                </c:pt>
                <c:pt idx="173">
                  <c:v>696.16532675779126</c:v>
                </c:pt>
                <c:pt idx="174">
                  <c:v>697.33628866422191</c:v>
                </c:pt>
                <c:pt idx="175">
                  <c:v>698.29483518187703</c:v>
                </c:pt>
                <c:pt idx="176">
                  <c:v>699.0406743282017</c:v>
                </c:pt>
                <c:pt idx="177">
                  <c:v>699.57357891336699</c:v>
                </c:pt>
                <c:pt idx="178">
                  <c:v>699.89338660947385</c:v>
                </c:pt>
              </c:numCache>
            </c:numRef>
          </c:xVal>
          <c:yVal>
            <c:numRef>
              <c:f>Aufsicht!$BA$191:$BA$369</c:f>
              <c:numCache>
                <c:formatCode>General</c:formatCode>
                <c:ptCount val="179"/>
                <c:pt idx="0">
                  <c:v>-494.9747468305834</c:v>
                </c:pt>
                <c:pt idx="1">
                  <c:v>-494.9747468305834</c:v>
                </c:pt>
                <c:pt idx="2">
                  <c:v>-494.9747468305834</c:v>
                </c:pt>
                <c:pt idx="3">
                  <c:v>-494.9747468305834</c:v>
                </c:pt>
                <c:pt idx="4">
                  <c:v>-494.9747468305834</c:v>
                </c:pt>
                <c:pt idx="5">
                  <c:v>-494.9747468305834</c:v>
                </c:pt>
                <c:pt idx="6">
                  <c:v>-494.9747468305834</c:v>
                </c:pt>
                <c:pt idx="7">
                  <c:v>-494.9747468305834</c:v>
                </c:pt>
                <c:pt idx="8">
                  <c:v>-494.9747468305834</c:v>
                </c:pt>
                <c:pt idx="9">
                  <c:v>-494.9747468305834</c:v>
                </c:pt>
                <c:pt idx="10">
                  <c:v>-494.9747468305834</c:v>
                </c:pt>
                <c:pt idx="11">
                  <c:v>-494.9747468305834</c:v>
                </c:pt>
                <c:pt idx="12">
                  <c:v>-494.9747468305834</c:v>
                </c:pt>
                <c:pt idx="13">
                  <c:v>-494.9747468305834</c:v>
                </c:pt>
                <c:pt idx="14">
                  <c:v>-494.9747468305834</c:v>
                </c:pt>
                <c:pt idx="15">
                  <c:v>-494.9747468305834</c:v>
                </c:pt>
                <c:pt idx="16">
                  <c:v>-494.9747468305834</c:v>
                </c:pt>
                <c:pt idx="17">
                  <c:v>-494.9747468305834</c:v>
                </c:pt>
                <c:pt idx="18">
                  <c:v>-494.9747468305834</c:v>
                </c:pt>
                <c:pt idx="19">
                  <c:v>-494.9747468305834</c:v>
                </c:pt>
                <c:pt idx="20">
                  <c:v>-494.9747468305834</c:v>
                </c:pt>
                <c:pt idx="21">
                  <c:v>-494.9747468305834</c:v>
                </c:pt>
                <c:pt idx="22">
                  <c:v>-494.9747468305834</c:v>
                </c:pt>
                <c:pt idx="23">
                  <c:v>-494.9747468305834</c:v>
                </c:pt>
                <c:pt idx="24">
                  <c:v>-494.9747468305834</c:v>
                </c:pt>
                <c:pt idx="25">
                  <c:v>-494.9747468305834</c:v>
                </c:pt>
                <c:pt idx="26">
                  <c:v>-494.9747468305834</c:v>
                </c:pt>
                <c:pt idx="27">
                  <c:v>-494.9747468305834</c:v>
                </c:pt>
                <c:pt idx="28">
                  <c:v>-494.9747468305834</c:v>
                </c:pt>
                <c:pt idx="29">
                  <c:v>-494.9747468305834</c:v>
                </c:pt>
                <c:pt idx="30">
                  <c:v>-494.9747468305834</c:v>
                </c:pt>
                <c:pt idx="31">
                  <c:v>-494.9747468305834</c:v>
                </c:pt>
                <c:pt idx="32">
                  <c:v>-494.9747468305834</c:v>
                </c:pt>
                <c:pt idx="33">
                  <c:v>-494.9747468305834</c:v>
                </c:pt>
                <c:pt idx="34">
                  <c:v>-494.9747468305834</c:v>
                </c:pt>
                <c:pt idx="35">
                  <c:v>-494.9747468305834</c:v>
                </c:pt>
                <c:pt idx="36">
                  <c:v>-494.9747468305834</c:v>
                </c:pt>
                <c:pt idx="37">
                  <c:v>-494.9747468305834</c:v>
                </c:pt>
                <c:pt idx="38">
                  <c:v>-494.9747468305834</c:v>
                </c:pt>
                <c:pt idx="39">
                  <c:v>-494.9747468305834</c:v>
                </c:pt>
                <c:pt idx="40">
                  <c:v>-494.9747468305834</c:v>
                </c:pt>
                <c:pt idx="41">
                  <c:v>-494.9747468305834</c:v>
                </c:pt>
                <c:pt idx="42">
                  <c:v>-494.9747468305834</c:v>
                </c:pt>
                <c:pt idx="43">
                  <c:v>-494.9747468305834</c:v>
                </c:pt>
                <c:pt idx="44">
                  <c:v>-494.9747468305834</c:v>
                </c:pt>
                <c:pt idx="45">
                  <c:v>-494.9747468305834</c:v>
                </c:pt>
                <c:pt idx="46">
                  <c:v>-494.9747468305834</c:v>
                </c:pt>
                <c:pt idx="47">
                  <c:v>-494.9747468305834</c:v>
                </c:pt>
                <c:pt idx="48">
                  <c:v>-494.9747468305834</c:v>
                </c:pt>
                <c:pt idx="49">
                  <c:v>-494.9747468305834</c:v>
                </c:pt>
                <c:pt idx="50">
                  <c:v>-494.9747468305834</c:v>
                </c:pt>
                <c:pt idx="51">
                  <c:v>-494.9747468305834</c:v>
                </c:pt>
                <c:pt idx="52">
                  <c:v>-494.9747468305834</c:v>
                </c:pt>
                <c:pt idx="53">
                  <c:v>-494.9747468305834</c:v>
                </c:pt>
                <c:pt idx="54">
                  <c:v>-494.9747468305834</c:v>
                </c:pt>
                <c:pt idx="55">
                  <c:v>-494.9747468305834</c:v>
                </c:pt>
                <c:pt idx="56">
                  <c:v>-494.9747468305834</c:v>
                </c:pt>
                <c:pt idx="57">
                  <c:v>-494.9747468305834</c:v>
                </c:pt>
                <c:pt idx="58">
                  <c:v>-494.9747468305834</c:v>
                </c:pt>
                <c:pt idx="59">
                  <c:v>-494.9747468305834</c:v>
                </c:pt>
                <c:pt idx="60">
                  <c:v>-494.9747468305834</c:v>
                </c:pt>
                <c:pt idx="61">
                  <c:v>-494.9747468305834</c:v>
                </c:pt>
                <c:pt idx="62">
                  <c:v>-494.9747468305834</c:v>
                </c:pt>
                <c:pt idx="63">
                  <c:v>-494.9747468305834</c:v>
                </c:pt>
                <c:pt idx="64">
                  <c:v>-494.9747468305834</c:v>
                </c:pt>
                <c:pt idx="65">
                  <c:v>-494.9747468305834</c:v>
                </c:pt>
                <c:pt idx="66">
                  <c:v>-494.9747468305834</c:v>
                </c:pt>
                <c:pt idx="67">
                  <c:v>-494.9747468305834</c:v>
                </c:pt>
                <c:pt idx="68">
                  <c:v>-494.9747468305834</c:v>
                </c:pt>
                <c:pt idx="69">
                  <c:v>-494.9747468305834</c:v>
                </c:pt>
                <c:pt idx="70">
                  <c:v>-494.9747468305834</c:v>
                </c:pt>
                <c:pt idx="71">
                  <c:v>-494.9747468305834</c:v>
                </c:pt>
                <c:pt idx="72">
                  <c:v>-494.9747468305834</c:v>
                </c:pt>
                <c:pt idx="73">
                  <c:v>-494.9747468305834</c:v>
                </c:pt>
                <c:pt idx="74">
                  <c:v>-494.9747468305834</c:v>
                </c:pt>
                <c:pt idx="75">
                  <c:v>-494.9747468305834</c:v>
                </c:pt>
                <c:pt idx="76">
                  <c:v>-494.9747468305834</c:v>
                </c:pt>
                <c:pt idx="77">
                  <c:v>-494.9747468305834</c:v>
                </c:pt>
                <c:pt idx="78">
                  <c:v>-494.9747468305834</c:v>
                </c:pt>
                <c:pt idx="79">
                  <c:v>-494.9747468305834</c:v>
                </c:pt>
                <c:pt idx="80">
                  <c:v>-494.9747468305834</c:v>
                </c:pt>
                <c:pt idx="81">
                  <c:v>-494.9747468305834</c:v>
                </c:pt>
                <c:pt idx="82">
                  <c:v>-494.9747468305834</c:v>
                </c:pt>
                <c:pt idx="83">
                  <c:v>-494.9747468305834</c:v>
                </c:pt>
                <c:pt idx="84">
                  <c:v>-494.9747468305834</c:v>
                </c:pt>
                <c:pt idx="85">
                  <c:v>-494.9747468305834</c:v>
                </c:pt>
                <c:pt idx="86">
                  <c:v>-494.9747468305834</c:v>
                </c:pt>
                <c:pt idx="87">
                  <c:v>-494.9747468305834</c:v>
                </c:pt>
                <c:pt idx="88">
                  <c:v>-494.9747468305834</c:v>
                </c:pt>
                <c:pt idx="89">
                  <c:v>-494.9747468305834</c:v>
                </c:pt>
                <c:pt idx="90">
                  <c:v>-494.9747468305834</c:v>
                </c:pt>
                <c:pt idx="91">
                  <c:v>-494.9747468305834</c:v>
                </c:pt>
                <c:pt idx="92">
                  <c:v>-494.9747468305834</c:v>
                </c:pt>
                <c:pt idx="93">
                  <c:v>-494.9747468305834</c:v>
                </c:pt>
                <c:pt idx="94">
                  <c:v>-494.9747468305834</c:v>
                </c:pt>
                <c:pt idx="95">
                  <c:v>-494.9747468305834</c:v>
                </c:pt>
                <c:pt idx="96">
                  <c:v>-494.9747468305834</c:v>
                </c:pt>
                <c:pt idx="97">
                  <c:v>-494.9747468305834</c:v>
                </c:pt>
                <c:pt idx="98">
                  <c:v>-494.9747468305834</c:v>
                </c:pt>
                <c:pt idx="99">
                  <c:v>-494.9747468305834</c:v>
                </c:pt>
                <c:pt idx="100">
                  <c:v>-494.9747468305834</c:v>
                </c:pt>
                <c:pt idx="101">
                  <c:v>-494.9747468305834</c:v>
                </c:pt>
                <c:pt idx="102">
                  <c:v>-494.9747468305834</c:v>
                </c:pt>
                <c:pt idx="103">
                  <c:v>-494.9747468305834</c:v>
                </c:pt>
                <c:pt idx="104">
                  <c:v>-494.9747468305834</c:v>
                </c:pt>
                <c:pt idx="105">
                  <c:v>-494.9747468305834</c:v>
                </c:pt>
                <c:pt idx="106">
                  <c:v>-494.9747468305834</c:v>
                </c:pt>
                <c:pt idx="107">
                  <c:v>-494.9747468305834</c:v>
                </c:pt>
                <c:pt idx="108">
                  <c:v>-494.9747468305834</c:v>
                </c:pt>
                <c:pt idx="109">
                  <c:v>-494.9747468305834</c:v>
                </c:pt>
                <c:pt idx="110">
                  <c:v>-494.9747468305834</c:v>
                </c:pt>
                <c:pt idx="111">
                  <c:v>-494.9747468305834</c:v>
                </c:pt>
                <c:pt idx="112">
                  <c:v>-494.9747468305834</c:v>
                </c:pt>
                <c:pt idx="113">
                  <c:v>-494.9747468305834</c:v>
                </c:pt>
                <c:pt idx="114">
                  <c:v>-494.9747468305834</c:v>
                </c:pt>
                <c:pt idx="115">
                  <c:v>-494.9747468305834</c:v>
                </c:pt>
                <c:pt idx="116">
                  <c:v>-494.9747468305834</c:v>
                </c:pt>
                <c:pt idx="117">
                  <c:v>-494.9747468305834</c:v>
                </c:pt>
                <c:pt idx="118">
                  <c:v>-494.9747468305834</c:v>
                </c:pt>
                <c:pt idx="119">
                  <c:v>-494.9747468305834</c:v>
                </c:pt>
                <c:pt idx="120">
                  <c:v>-494.9747468305834</c:v>
                </c:pt>
                <c:pt idx="121">
                  <c:v>-494.9747468305834</c:v>
                </c:pt>
                <c:pt idx="122">
                  <c:v>-494.9747468305834</c:v>
                </c:pt>
                <c:pt idx="123">
                  <c:v>-494.9747468305834</c:v>
                </c:pt>
                <c:pt idx="124">
                  <c:v>-494.9747468305834</c:v>
                </c:pt>
                <c:pt idx="125">
                  <c:v>-494.9747468305834</c:v>
                </c:pt>
                <c:pt idx="126">
                  <c:v>-494.9747468305834</c:v>
                </c:pt>
                <c:pt idx="127">
                  <c:v>-494.9747468305834</c:v>
                </c:pt>
                <c:pt idx="128">
                  <c:v>-494.9747468305834</c:v>
                </c:pt>
                <c:pt idx="129">
                  <c:v>-494.9747468305834</c:v>
                </c:pt>
                <c:pt idx="130">
                  <c:v>-494.9747468305834</c:v>
                </c:pt>
                <c:pt idx="131">
                  <c:v>-494.9747468305834</c:v>
                </c:pt>
                <c:pt idx="132">
                  <c:v>-494.9747468305834</c:v>
                </c:pt>
                <c:pt idx="133">
                  <c:v>-494.9747468305834</c:v>
                </c:pt>
                <c:pt idx="134">
                  <c:v>-494.9747468305834</c:v>
                </c:pt>
                <c:pt idx="135">
                  <c:v>-486.26085932129831</c:v>
                </c:pt>
                <c:pt idx="136">
                  <c:v>-477.39885204374878</c:v>
                </c:pt>
                <c:pt idx="137">
                  <c:v>-468.39142445120069</c:v>
                </c:pt>
                <c:pt idx="138">
                  <c:v>-459.24132029335516</c:v>
                </c:pt>
                <c:pt idx="139">
                  <c:v>-449.95132678057769</c:v>
                </c:pt>
                <c:pt idx="140">
                  <c:v>-440.52427373488649</c:v>
                </c:pt>
                <c:pt idx="141">
                  <c:v>-430.96303272796121</c:v>
                </c:pt>
                <c:pt idx="142">
                  <c:v>-421.2705162064338</c:v>
                </c:pt>
                <c:pt idx="143">
                  <c:v>-411.44967660473134</c:v>
                </c:pt>
                <c:pt idx="144">
                  <c:v>-401.50350544573257</c:v>
                </c:pt>
                <c:pt idx="145">
                  <c:v>-391.43503242952312</c:v>
                </c:pt>
                <c:pt idx="146">
                  <c:v>-381.24732451051887</c:v>
                </c:pt>
                <c:pt idx="147">
                  <c:v>-370.94348496324403</c:v>
                </c:pt>
                <c:pt idx="148">
                  <c:v>-360.52665243703814</c:v>
                </c:pt>
                <c:pt idx="149">
                  <c:v>-350.00000000000028</c:v>
                </c:pt>
                <c:pt idx="150">
                  <c:v>-339.36673417243583</c:v>
                </c:pt>
                <c:pt idx="151">
                  <c:v>-328.63009395012358</c:v>
                </c:pt>
                <c:pt idx="152">
                  <c:v>-317.79334981768289</c:v>
                </c:pt>
                <c:pt idx="153">
                  <c:v>-306.85980275235391</c:v>
                </c:pt>
                <c:pt idx="154">
                  <c:v>-295.83278321849002</c:v>
                </c:pt>
                <c:pt idx="155">
                  <c:v>-284.7156501530601</c:v>
                </c:pt>
                <c:pt idx="156">
                  <c:v>-273.51178994249233</c:v>
                </c:pt>
                <c:pt idx="157">
                  <c:v>-262.22461539113863</c:v>
                </c:pt>
                <c:pt idx="158">
                  <c:v>-250.85756468171053</c:v>
                </c:pt>
                <c:pt idx="159">
                  <c:v>-239.41410032796801</c:v>
                </c:pt>
                <c:pt idx="160">
                  <c:v>-227.89770812001026</c:v>
                </c:pt>
                <c:pt idx="161">
                  <c:v>-216.31189606246332</c:v>
                </c:pt>
                <c:pt idx="162">
                  <c:v>-204.66019330591539</c:v>
                </c:pt>
                <c:pt idx="163">
                  <c:v>-192.94614907189984</c:v>
                </c:pt>
                <c:pt idx="164">
                  <c:v>-181.17333157176449</c:v>
                </c:pt>
                <c:pt idx="165">
                  <c:v>-169.3453269197675</c:v>
                </c:pt>
                <c:pt idx="166">
                  <c:v>-157.46573804070573</c:v>
                </c:pt>
                <c:pt idx="167">
                  <c:v>-145.5381835724319</c:v>
                </c:pt>
                <c:pt idx="168">
                  <c:v>-133.56629676358128</c:v>
                </c:pt>
                <c:pt idx="169">
                  <c:v>-121.5537243668519</c:v>
                </c:pt>
                <c:pt idx="170">
                  <c:v>-109.50412552816178</c:v>
                </c:pt>
                <c:pt idx="171">
                  <c:v>-97.421170672046117</c:v>
                </c:pt>
                <c:pt idx="172">
                  <c:v>-85.308540383603685</c:v>
                </c:pt>
                <c:pt idx="173">
                  <c:v>-73.169924287357389</c:v>
                </c:pt>
                <c:pt idx="174">
                  <c:v>-61.009019923360825</c:v>
                </c:pt>
                <c:pt idx="175">
                  <c:v>-48.82953162088733</c:v>
                </c:pt>
                <c:pt idx="176">
                  <c:v>-36.635169370061057</c:v>
                </c:pt>
                <c:pt idx="177">
                  <c:v>-24.429647691750578</c:v>
                </c:pt>
                <c:pt idx="178">
                  <c:v>-12.216684506099114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C7D5-4879-B749-AC6AAB384502}"/>
            </c:ext>
          </c:extLst>
        </c:ser>
        <c:ser>
          <c:idx val="14"/>
          <c:order val="14"/>
          <c:tx>
            <c:v>DL1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Aufsicht!$AJ$30:$AJ$31</c:f>
              <c:numCache>
                <c:formatCode>General</c:formatCode>
                <c:ptCount val="2"/>
                <c:pt idx="0">
                  <c:v>650</c:v>
                </c:pt>
                <c:pt idx="1">
                  <c:v>450</c:v>
                </c:pt>
              </c:numCache>
            </c:numRef>
          </c:xVal>
          <c:yVal>
            <c:numRef>
              <c:f>Aufsicht!$AK$30:$AK$31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C7D5-4879-B749-AC6AAB384502}"/>
            </c:ext>
          </c:extLst>
        </c:ser>
        <c:ser>
          <c:idx val="15"/>
          <c:order val="15"/>
          <c:tx>
            <c:v>DL2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Aufsicht!$AJ$33:$AJ$34</c:f>
              <c:numCache>
                <c:formatCode>General</c:formatCode>
                <c:ptCount val="2"/>
                <c:pt idx="0">
                  <c:v>650</c:v>
                </c:pt>
                <c:pt idx="1">
                  <c:v>450</c:v>
                </c:pt>
              </c:numCache>
            </c:numRef>
          </c:xVal>
          <c:yVal>
            <c:numRef>
              <c:f>Aufsicht!$AK$33:$AK$34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1-C7D5-4879-B749-AC6AAB384502}"/>
            </c:ext>
          </c:extLst>
        </c:ser>
        <c:ser>
          <c:idx val="16"/>
          <c:order val="16"/>
          <c:tx>
            <c:v>DL3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Aufsicht!$AJ$36:$AJ$37</c:f>
              <c:numCache>
                <c:formatCode>General</c:formatCode>
                <c:ptCount val="2"/>
                <c:pt idx="0">
                  <c:v>650</c:v>
                </c:pt>
                <c:pt idx="1">
                  <c:v>650</c:v>
                </c:pt>
              </c:numCache>
            </c:numRef>
          </c:xVal>
          <c:yVal>
            <c:numRef>
              <c:f>Aufsicht!$AK$36:$AK$37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C7D5-4879-B749-AC6AAB384502}"/>
            </c:ext>
          </c:extLst>
        </c:ser>
        <c:ser>
          <c:idx val="17"/>
          <c:order val="17"/>
          <c:tx>
            <c:v>DL4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rgbClr val="FFC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C7D5-4879-B749-AC6AAB384502}"/>
              </c:ext>
            </c:extLst>
          </c:dPt>
          <c:xVal>
            <c:numRef>
              <c:f>Aufsicht!$AJ$39:$AJ$40</c:f>
              <c:numCache>
                <c:formatCode>General</c:formatCode>
                <c:ptCount val="2"/>
                <c:pt idx="0">
                  <c:v>450</c:v>
                </c:pt>
                <c:pt idx="1">
                  <c:v>450</c:v>
                </c:pt>
              </c:numCache>
            </c:numRef>
          </c:xVal>
          <c:yVal>
            <c:numRef>
              <c:f>Aufsicht!$AK$39:$AK$40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5-C7D5-4879-B749-AC6AAB384502}"/>
            </c:ext>
          </c:extLst>
        </c:ser>
        <c:ser>
          <c:idx val="18"/>
          <c:order val="18"/>
          <c:tx>
            <c:v>E1</c:v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A0-6B59-4B3D-A6F2-C0B511F7D843}"/>
              </c:ext>
            </c:extLst>
          </c:dPt>
          <c:xVal>
            <c:strRef>
              <c:f>Aufsicht!$AR$8:$AR$12</c:f>
              <c:strCache>
                <c:ptCount val="4"/>
                <c:pt idx="1">
                  <c:v>#WERT!</c:v>
                </c:pt>
                <c:pt idx="2">
                  <c:v>#WERT!</c:v>
                </c:pt>
                <c:pt idx="3">
                  <c:v>#WERT!</c:v>
                </c:pt>
              </c:strCache>
            </c:strRef>
          </c:xVal>
          <c:yVal>
            <c:numRef>
              <c:f>Aufsicht!$AS$8:$AS$12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C7D5-4879-B749-AC6AAB384502}"/>
            </c:ext>
          </c:extLst>
        </c:ser>
        <c:ser>
          <c:idx val="19"/>
          <c:order val="19"/>
          <c:tx>
            <c:v>E2</c:v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Aufsicht!$AR$13:$AR$17</c:f>
              <c:numCache>
                <c:formatCode>General</c:formatCode>
                <c:ptCount val="5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Aufsicht!$AS$13:$AS$17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C7D5-4879-B749-AC6AAB384502}"/>
            </c:ext>
          </c:extLst>
        </c:ser>
        <c:ser>
          <c:idx val="20"/>
          <c:order val="20"/>
          <c:tx>
            <c:strRef>
              <c:f>Aufsicht!$AT$20</c:f>
              <c:strCache>
                <c:ptCount val="1"/>
                <c:pt idx="0">
                  <c:v>E3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Aufsicht!$AR$18:$AR$22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Aufsicht!$AS$18:$AS$22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C7D5-4879-B749-AC6AAB384502}"/>
            </c:ext>
          </c:extLst>
        </c:ser>
        <c:ser>
          <c:idx val="21"/>
          <c:order val="21"/>
          <c:tx>
            <c:strRef>
              <c:f>Aufsicht!$AT$25</c:f>
              <c:strCache>
                <c:ptCount val="1"/>
                <c:pt idx="0">
                  <c:v>E4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Aufsicht!$AR$23:$AR$27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Aufsicht!$AS$23:$AS$27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C7D5-4879-B749-AC6AAB384502}"/>
            </c:ext>
          </c:extLst>
        </c:ser>
        <c:ser>
          <c:idx val="22"/>
          <c:order val="22"/>
          <c:tx>
            <c:strRef>
              <c:f>Aufsicht!$AT$30</c:f>
              <c:strCache>
                <c:ptCount val="1"/>
                <c:pt idx="0">
                  <c:v>E5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Aufsicht!$AR$28:$AR$32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Aufsicht!$AS$28:$AS$32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C7D5-4879-B749-AC6AAB384502}"/>
            </c:ext>
          </c:extLst>
        </c:ser>
        <c:ser>
          <c:idx val="23"/>
          <c:order val="23"/>
          <c:tx>
            <c:strRef>
              <c:f>Aufsicht!$AT$35</c:f>
              <c:strCache>
                <c:ptCount val="1"/>
                <c:pt idx="0">
                  <c:v>E6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Aufsicht!$AR$33:$AR$37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Aufsicht!$AS$33:$AS$37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C7D5-4879-B749-AC6AAB384502}"/>
            </c:ext>
          </c:extLst>
        </c:ser>
        <c:ser>
          <c:idx val="24"/>
          <c:order val="24"/>
          <c:tx>
            <c:strRef>
              <c:f>Aufsicht!$AT$40</c:f>
              <c:strCache>
                <c:ptCount val="1"/>
                <c:pt idx="0">
                  <c:v>E7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Aufsicht!$AR$38:$AR$42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Aufsicht!$AS$38:$AS$42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C7D5-4879-B749-AC6AAB384502}"/>
            </c:ext>
          </c:extLst>
        </c:ser>
        <c:ser>
          <c:idx val="25"/>
          <c:order val="25"/>
          <c:tx>
            <c:strRef>
              <c:f>Aufsicht!$AT$45</c:f>
              <c:strCache>
                <c:ptCount val="1"/>
                <c:pt idx="0">
                  <c:v>E8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Aufsicht!$AR$43:$AR$47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Aufsicht!$AS$43:$AS$47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C7D5-4879-B749-AC6AAB384502}"/>
            </c:ext>
          </c:extLst>
        </c:ser>
        <c:ser>
          <c:idx val="26"/>
          <c:order val="26"/>
          <c:tx>
            <c:strRef>
              <c:f>Aufsicht!$AT$50</c:f>
              <c:strCache>
                <c:ptCount val="1"/>
                <c:pt idx="0">
                  <c:v>El Rohr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Aufsicht!$AR$48:$AR$52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Aufsicht!$AS$48:$AS$52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E-C7D5-4879-B749-AC6AAB384502}"/>
            </c:ext>
          </c:extLst>
        </c:ser>
        <c:ser>
          <c:idx val="27"/>
          <c:order val="27"/>
          <c:tx>
            <c:v>Einlauffrei Ende1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Aufsicht!$BC$188:$BC$189</c:f>
              <c:numCache>
                <c:formatCode>General</c:formatCode>
                <c:ptCount val="2"/>
                <c:pt idx="0">
                  <c:v>494.97474683058329</c:v>
                </c:pt>
                <c:pt idx="1">
                  <c:v>569.22095885517069</c:v>
                </c:pt>
              </c:numCache>
            </c:numRef>
          </c:xVal>
          <c:yVal>
            <c:numRef>
              <c:f>Aufsicht!$BD$188:$BD$189</c:f>
              <c:numCache>
                <c:formatCode>General</c:formatCode>
                <c:ptCount val="2"/>
                <c:pt idx="0">
                  <c:v>494.97474683058323</c:v>
                </c:pt>
                <c:pt idx="1">
                  <c:v>569.22095885517058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F-C7D5-4879-B749-AC6AAB384502}"/>
            </c:ext>
          </c:extLst>
        </c:ser>
        <c:ser>
          <c:idx val="28"/>
          <c:order val="28"/>
          <c:tx>
            <c:v>Einlauffrei Ende2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Aufsicht!$BC$191:$BC$192</c:f>
              <c:numCache>
                <c:formatCode>General</c:formatCode>
                <c:ptCount val="2"/>
                <c:pt idx="0">
                  <c:v>494.97474683058317</c:v>
                </c:pt>
                <c:pt idx="1">
                  <c:v>569.22095885517058</c:v>
                </c:pt>
              </c:numCache>
            </c:numRef>
          </c:xVal>
          <c:yVal>
            <c:numRef>
              <c:f>Aufsicht!$BD$191:$BD$192</c:f>
              <c:numCache>
                <c:formatCode>General</c:formatCode>
                <c:ptCount val="2"/>
                <c:pt idx="0">
                  <c:v>-494.9747468305834</c:v>
                </c:pt>
                <c:pt idx="1">
                  <c:v>-569.22095885517081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0-C7D5-4879-B749-AC6AAB384502}"/>
            </c:ext>
          </c:extLst>
        </c:ser>
        <c:ser>
          <c:idx val="29"/>
          <c:order val="29"/>
          <c:tx>
            <c:v>PDL 1 Mittelstrich</c:v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rgbClr val="FFC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C7D5-4879-B749-AC6AAB384502}"/>
              </c:ext>
            </c:extLst>
          </c:dPt>
          <c:xVal>
            <c:numRef>
              <c:f>Aufsicht!$AJ$42:$AJ$43</c:f>
              <c:numCache>
                <c:formatCode>General</c:formatCode>
                <c:ptCount val="2"/>
                <c:pt idx="0">
                  <c:v>650</c:v>
                </c:pt>
                <c:pt idx="1">
                  <c:v>450</c:v>
                </c:pt>
              </c:numCache>
            </c:numRef>
          </c:xVal>
          <c:yVal>
            <c:numRef>
              <c:f>Aufsicht!$AK$42:$AK$43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3-C7D5-4879-B749-AC6AAB384502}"/>
            </c:ext>
          </c:extLst>
        </c:ser>
        <c:ser>
          <c:idx val="30"/>
          <c:order val="30"/>
          <c:tx>
            <c:strRef>
              <c:f>Aufsicht!$M$6</c:f>
              <c:strCache>
                <c:ptCount val="1"/>
                <c:pt idx="0">
                  <c:v>Schacht aussen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Aufsicht!$N$11:$N$370</c:f>
              <c:numCache>
                <c:formatCode>General</c:formatCode>
                <c:ptCount val="360"/>
                <c:pt idx="0">
                  <c:v>574.91242471492501</c:v>
                </c:pt>
                <c:pt idx="1">
                  <c:v>574.64972553598011</c:v>
                </c:pt>
                <c:pt idx="2">
                  <c:v>574.21198248387998</c:v>
                </c:pt>
                <c:pt idx="3">
                  <c:v>573.59932889939887</c:v>
                </c:pt>
                <c:pt idx="4">
                  <c:v>572.81195140275372</c:v>
                </c:pt>
                <c:pt idx="5">
                  <c:v>571.85008983675709</c:v>
                </c:pt>
                <c:pt idx="6">
                  <c:v>570.71403719376019</c:v>
                </c:pt>
                <c:pt idx="7">
                  <c:v>569.40413952640301</c:v>
                </c:pt>
                <c:pt idx="8">
                  <c:v>567.92079584220426</c:v>
                </c:pt>
                <c:pt idx="9">
                  <c:v>566.26445798201962</c:v>
                </c:pt>
                <c:pt idx="10">
                  <c:v>564.43563048240674</c:v>
                </c:pt>
                <c:pt idx="11">
                  <c:v>562.43487042193829</c:v>
                </c:pt>
                <c:pt idx="12">
                  <c:v>560.2627872515103</c:v>
                </c:pt>
                <c:pt idx="13">
                  <c:v>557.92004260869794</c:v>
                </c:pt>
                <c:pt idx="14">
                  <c:v>555.40735011621427</c:v>
                </c:pt>
                <c:pt idx="15">
                  <c:v>552.72547516453335</c:v>
                </c:pt>
                <c:pt idx="16">
                  <c:v>549.87523467874541</c:v>
                </c:pt>
                <c:pt idx="17">
                  <c:v>546.85749686971326</c:v>
                </c:pt>
                <c:pt idx="18">
                  <c:v>543.67318096960719</c:v>
                </c:pt>
                <c:pt idx="19">
                  <c:v>540.32325695189729</c:v>
                </c:pt>
                <c:pt idx="20">
                  <c:v>536.80874523589102</c:v>
                </c:pt>
                <c:pt idx="21">
                  <c:v>533.13071637590281</c:v>
                </c:pt>
                <c:pt idx="22">
                  <c:v>529.29029073515323</c:v>
                </c:pt>
                <c:pt idx="23">
                  <c:v>525.28863814449551</c:v>
                </c:pt>
                <c:pt idx="24">
                  <c:v>521.1269775460737</c:v>
                </c:pt>
                <c:pt idx="25">
                  <c:v>516.806576622021</c:v>
                </c:pt>
                <c:pt idx="26">
                  <c:v>512.32875140831152</c:v>
                </c:pt>
                <c:pt idx="27">
                  <c:v>507.69486589388299</c:v>
                </c:pt>
                <c:pt idx="28">
                  <c:v>502.90633160515256</c:v>
                </c:pt>
                <c:pt idx="29">
                  <c:v>497.96460717605225</c:v>
                </c:pt>
                <c:pt idx="30">
                  <c:v>492.87119790371457</c:v>
                </c:pt>
                <c:pt idx="31">
                  <c:v>487.62765528994493</c:v>
                </c:pt>
                <c:pt idx="32">
                  <c:v>482.23557656861885</c:v>
                </c:pt>
                <c:pt idx="33">
                  <c:v>476.69660421914892</c:v>
                </c:pt>
                <c:pt idx="34">
                  <c:v>471.01242546617027</c:v>
                </c:pt>
                <c:pt idx="35">
                  <c:v>465.1847717655948</c:v>
                </c:pt>
                <c:pt idx="36">
                  <c:v>459.21541827719335</c:v>
                </c:pt>
                <c:pt idx="37">
                  <c:v>453.10618332386514</c:v>
                </c:pt>
                <c:pt idx="38">
                  <c:v>446.85892783775824</c:v>
                </c:pt>
                <c:pt idx="39">
                  <c:v>440.47555479341236</c:v>
                </c:pt>
                <c:pt idx="40">
                  <c:v>433.95800862809398</c:v>
                </c:pt>
                <c:pt idx="41">
                  <c:v>427.3082746495017</c:v>
                </c:pt>
                <c:pt idx="42">
                  <c:v>420.5283784310231</c:v>
                </c:pt>
                <c:pt idx="43">
                  <c:v>413.62038519472446</c:v>
                </c:pt>
                <c:pt idx="44">
                  <c:v>406.58639918226487</c:v>
                </c:pt>
                <c:pt idx="45">
                  <c:v>399.42856301392351</c:v>
                </c:pt>
                <c:pt idx="46">
                  <c:v>392.14905703593661</c:v>
                </c:pt>
                <c:pt idx="47">
                  <c:v>384.75009865634348</c:v>
                </c:pt>
                <c:pt idx="48">
                  <c:v>377.23394166954171</c:v>
                </c:pt>
                <c:pt idx="49">
                  <c:v>369.60287556976016</c:v>
                </c:pt>
                <c:pt idx="50">
                  <c:v>361.85922485365654</c:v>
                </c:pt>
                <c:pt idx="51">
                  <c:v>354.00534831225355</c:v>
                </c:pt>
                <c:pt idx="52">
                  <c:v>346.04363831242784</c:v>
                </c:pt>
                <c:pt idx="53">
                  <c:v>337.97652006817208</c:v>
                </c:pt>
                <c:pt idx="54">
                  <c:v>329.80645090185152</c:v>
                </c:pt>
                <c:pt idx="55">
                  <c:v>321.53591949567942</c:v>
                </c:pt>
                <c:pt idx="56">
                  <c:v>313.16744513364063</c:v>
                </c:pt>
                <c:pt idx="57">
                  <c:v>304.70357693409284</c:v>
                </c:pt>
                <c:pt idx="58">
                  <c:v>296.14689307328126</c:v>
                </c:pt>
                <c:pt idx="59">
                  <c:v>287.50000000000006</c:v>
                </c:pt>
                <c:pt idx="60">
                  <c:v>278.76553164164386</c:v>
                </c:pt>
                <c:pt idx="61">
                  <c:v>269.94614860188727</c:v>
                </c:pt>
                <c:pt idx="62">
                  <c:v>261.04453735023941</c:v>
                </c:pt>
                <c:pt idx="63">
                  <c:v>252.06340940371953</c:v>
                </c:pt>
                <c:pt idx="64">
                  <c:v>243.00550050090217</c:v>
                </c:pt>
                <c:pt idx="65">
                  <c:v>233.87356976858513</c:v>
                </c:pt>
                <c:pt idx="66">
                  <c:v>224.67039888133252</c:v>
                </c:pt>
                <c:pt idx="67">
                  <c:v>215.39879121414938</c:v>
                </c:pt>
                <c:pt idx="68">
                  <c:v>206.06157098854771</c:v>
                </c:pt>
                <c:pt idx="69">
                  <c:v>196.66158241225958</c:v>
                </c:pt>
                <c:pt idx="70">
                  <c:v>187.20168881286514</c:v>
                </c:pt>
                <c:pt idx="71">
                  <c:v>177.68477176559477</c:v>
                </c:pt>
                <c:pt idx="72">
                  <c:v>168.11373021557364</c:v>
                </c:pt>
                <c:pt idx="73">
                  <c:v>158.49147959477452</c:v>
                </c:pt>
                <c:pt idx="74">
                  <c:v>148.82095093394943</c:v>
                </c:pt>
                <c:pt idx="75">
                  <c:v>139.10508996980903</c:v>
                </c:pt>
                <c:pt idx="76">
                  <c:v>129.34685624772234</c:v>
                </c:pt>
                <c:pt idx="77">
                  <c:v>119.54922222021169</c:v>
                </c:pt>
                <c:pt idx="78">
                  <c:v>109.71517234151332</c:v>
                </c:pt>
                <c:pt idx="79">
                  <c:v>99.847702158484992</c:v>
                </c:pt>
                <c:pt idx="80">
                  <c:v>89.94981739813278</c:v>
                </c:pt>
                <c:pt idx="81">
                  <c:v>80.024533052037768</c:v>
                </c:pt>
                <c:pt idx="82">
                  <c:v>70.074872457959813</c:v>
                </c:pt>
                <c:pt idx="83">
                  <c:v>60.10386637890074</c:v>
                </c:pt>
                <c:pt idx="84">
                  <c:v>50.114552079903433</c:v>
                </c:pt>
                <c:pt idx="85">
                  <c:v>40.109972402872138</c:v>
                </c:pt>
                <c:pt idx="86">
                  <c:v>30.093174839692782</c:v>
                </c:pt>
                <c:pt idx="87">
                  <c:v>20.067210603938122</c:v>
                </c:pt>
                <c:pt idx="88">
                  <c:v>10.035133701437941</c:v>
                </c:pt>
                <c:pt idx="89">
                  <c:v>3.5223018078622825E-14</c:v>
                </c:pt>
                <c:pt idx="90">
                  <c:v>-10.035133701437999</c:v>
                </c:pt>
                <c:pt idx="91">
                  <c:v>-20.067210603937923</c:v>
                </c:pt>
                <c:pt idx="92">
                  <c:v>-30.09317483969258</c:v>
                </c:pt>
                <c:pt idx="93">
                  <c:v>-40.109972402872067</c:v>
                </c:pt>
                <c:pt idx="94">
                  <c:v>-50.114552079903483</c:v>
                </c:pt>
                <c:pt idx="95">
                  <c:v>-60.103866378900669</c:v>
                </c:pt>
                <c:pt idx="96">
                  <c:v>-70.074872457959728</c:v>
                </c:pt>
                <c:pt idx="97">
                  <c:v>-80.024533052037583</c:v>
                </c:pt>
                <c:pt idx="98">
                  <c:v>-89.949817398132851</c:v>
                </c:pt>
                <c:pt idx="99">
                  <c:v>-99.847702158484921</c:v>
                </c:pt>
                <c:pt idx="100">
                  <c:v>-109.71517234151327</c:v>
                </c:pt>
                <c:pt idx="101">
                  <c:v>-119.54922222021149</c:v>
                </c:pt>
                <c:pt idx="102">
                  <c:v>-129.34685624772226</c:v>
                </c:pt>
                <c:pt idx="103">
                  <c:v>-139.10508996980897</c:v>
                </c:pt>
                <c:pt idx="104">
                  <c:v>-148.82095093394949</c:v>
                </c:pt>
                <c:pt idx="105">
                  <c:v>-158.49147959477446</c:v>
                </c:pt>
                <c:pt idx="106">
                  <c:v>-168.11373021557358</c:v>
                </c:pt>
                <c:pt idx="107">
                  <c:v>-177.68477176559472</c:v>
                </c:pt>
                <c:pt idx="108">
                  <c:v>-187.20168881286494</c:v>
                </c:pt>
                <c:pt idx="109">
                  <c:v>-196.66158241225952</c:v>
                </c:pt>
                <c:pt idx="110">
                  <c:v>-206.06157098854766</c:v>
                </c:pt>
                <c:pt idx="111">
                  <c:v>-215.39879121414944</c:v>
                </c:pt>
                <c:pt idx="112">
                  <c:v>-224.67039888133232</c:v>
                </c:pt>
                <c:pt idx="113">
                  <c:v>-233.87356976858501</c:v>
                </c:pt>
                <c:pt idx="114">
                  <c:v>-243.00550050090212</c:v>
                </c:pt>
                <c:pt idx="115">
                  <c:v>-252.06340940371956</c:v>
                </c:pt>
                <c:pt idx="116">
                  <c:v>-261.04453735023935</c:v>
                </c:pt>
                <c:pt idx="117">
                  <c:v>-269.94614860188705</c:v>
                </c:pt>
                <c:pt idx="118">
                  <c:v>-278.7655316416438</c:v>
                </c:pt>
                <c:pt idx="119">
                  <c:v>-287.49999999999989</c:v>
                </c:pt>
                <c:pt idx="120">
                  <c:v>-296.14689307328121</c:v>
                </c:pt>
                <c:pt idx="121">
                  <c:v>-304.70357693409278</c:v>
                </c:pt>
                <c:pt idx="122">
                  <c:v>-313.16744513364057</c:v>
                </c:pt>
                <c:pt idx="123">
                  <c:v>-321.53591949567937</c:v>
                </c:pt>
                <c:pt idx="124">
                  <c:v>-329.80645090185135</c:v>
                </c:pt>
                <c:pt idx="125">
                  <c:v>-337.97652006817196</c:v>
                </c:pt>
                <c:pt idx="126">
                  <c:v>-346.04363831242784</c:v>
                </c:pt>
                <c:pt idx="127">
                  <c:v>-354.00534831225355</c:v>
                </c:pt>
                <c:pt idx="128">
                  <c:v>-361.85922485365643</c:v>
                </c:pt>
                <c:pt idx="129">
                  <c:v>-369.60287556976016</c:v>
                </c:pt>
                <c:pt idx="130">
                  <c:v>-377.23394166954182</c:v>
                </c:pt>
                <c:pt idx="131">
                  <c:v>-384.75009865634348</c:v>
                </c:pt>
                <c:pt idx="132">
                  <c:v>-392.14905703593655</c:v>
                </c:pt>
                <c:pt idx="133">
                  <c:v>-399.42856301392328</c:v>
                </c:pt>
                <c:pt idx="134">
                  <c:v>-406.58639918226481</c:v>
                </c:pt>
                <c:pt idx="135">
                  <c:v>-413.62038519472446</c:v>
                </c:pt>
                <c:pt idx="136">
                  <c:v>-420.52837843102299</c:v>
                </c:pt>
                <c:pt idx="137">
                  <c:v>-427.30827464950158</c:v>
                </c:pt>
                <c:pt idx="138">
                  <c:v>-433.95800862809392</c:v>
                </c:pt>
                <c:pt idx="139">
                  <c:v>-440.4755547934123</c:v>
                </c:pt>
                <c:pt idx="140">
                  <c:v>-446.85892783775813</c:v>
                </c:pt>
                <c:pt idx="141">
                  <c:v>-453.10618332386508</c:v>
                </c:pt>
                <c:pt idx="142">
                  <c:v>-459.21541827719346</c:v>
                </c:pt>
                <c:pt idx="143">
                  <c:v>-465.18477176559475</c:v>
                </c:pt>
                <c:pt idx="144">
                  <c:v>-471.01242546617016</c:v>
                </c:pt>
                <c:pt idx="145">
                  <c:v>-476.69660421914892</c:v>
                </c:pt>
                <c:pt idx="146">
                  <c:v>-482.23557656861891</c:v>
                </c:pt>
                <c:pt idx="147">
                  <c:v>-487.62765528994493</c:v>
                </c:pt>
                <c:pt idx="148">
                  <c:v>-492.87119790371452</c:v>
                </c:pt>
                <c:pt idx="149">
                  <c:v>-497.96460717605225</c:v>
                </c:pt>
                <c:pt idx="150">
                  <c:v>-502.90633160515256</c:v>
                </c:pt>
                <c:pt idx="151">
                  <c:v>-507.69486589388288</c:v>
                </c:pt>
                <c:pt idx="152">
                  <c:v>-512.32875140831152</c:v>
                </c:pt>
                <c:pt idx="153">
                  <c:v>-516.806576622021</c:v>
                </c:pt>
                <c:pt idx="154">
                  <c:v>-521.1269775460737</c:v>
                </c:pt>
                <c:pt idx="155">
                  <c:v>-525.28863814449539</c:v>
                </c:pt>
                <c:pt idx="156">
                  <c:v>-529.29029073515312</c:v>
                </c:pt>
                <c:pt idx="157">
                  <c:v>-533.13071637590269</c:v>
                </c:pt>
                <c:pt idx="158">
                  <c:v>-536.80874523589102</c:v>
                </c:pt>
                <c:pt idx="159">
                  <c:v>-540.32325695189729</c:v>
                </c:pt>
                <c:pt idx="160">
                  <c:v>-543.67318096960707</c:v>
                </c:pt>
                <c:pt idx="161">
                  <c:v>-546.85749686971326</c:v>
                </c:pt>
                <c:pt idx="162">
                  <c:v>-549.87523467874541</c:v>
                </c:pt>
                <c:pt idx="163">
                  <c:v>-552.72547516453324</c:v>
                </c:pt>
                <c:pt idx="164">
                  <c:v>-555.40735011621416</c:v>
                </c:pt>
                <c:pt idx="165">
                  <c:v>-557.92004260869794</c:v>
                </c:pt>
                <c:pt idx="166">
                  <c:v>-560.2627872515103</c:v>
                </c:pt>
                <c:pt idx="167">
                  <c:v>-562.43487042193829</c:v>
                </c:pt>
                <c:pt idx="168">
                  <c:v>-564.43563048240674</c:v>
                </c:pt>
                <c:pt idx="169">
                  <c:v>-566.26445798201962</c:v>
                </c:pt>
                <c:pt idx="170">
                  <c:v>-567.92079584220414</c:v>
                </c:pt>
                <c:pt idx="171">
                  <c:v>-569.4041395264029</c:v>
                </c:pt>
                <c:pt idx="172">
                  <c:v>-570.71403719376019</c:v>
                </c:pt>
                <c:pt idx="173">
                  <c:v>-571.85008983675709</c:v>
                </c:pt>
                <c:pt idx="174">
                  <c:v>-572.81195140275372</c:v>
                </c:pt>
                <c:pt idx="175">
                  <c:v>-573.59932889939887</c:v>
                </c:pt>
                <c:pt idx="176">
                  <c:v>-574.21198248387998</c:v>
                </c:pt>
                <c:pt idx="177">
                  <c:v>-574.64972553598011</c:v>
                </c:pt>
                <c:pt idx="178">
                  <c:v>-574.91242471492501</c:v>
                </c:pt>
                <c:pt idx="179">
                  <c:v>-575</c:v>
                </c:pt>
                <c:pt idx="180">
                  <c:v>-574.91242471492501</c:v>
                </c:pt>
                <c:pt idx="181">
                  <c:v>-574.64972553598011</c:v>
                </c:pt>
                <c:pt idx="182">
                  <c:v>-574.21198248387998</c:v>
                </c:pt>
                <c:pt idx="183">
                  <c:v>-573.59932889939898</c:v>
                </c:pt>
                <c:pt idx="184">
                  <c:v>-572.81195140275372</c:v>
                </c:pt>
                <c:pt idx="185">
                  <c:v>-571.85008983675721</c:v>
                </c:pt>
                <c:pt idx="186">
                  <c:v>-570.71403719376019</c:v>
                </c:pt>
                <c:pt idx="187">
                  <c:v>-569.4041395264029</c:v>
                </c:pt>
                <c:pt idx="188">
                  <c:v>-567.92079584220426</c:v>
                </c:pt>
                <c:pt idx="189">
                  <c:v>-566.26445798201962</c:v>
                </c:pt>
                <c:pt idx="190">
                  <c:v>-564.43563048240674</c:v>
                </c:pt>
                <c:pt idx="191">
                  <c:v>-562.43487042193829</c:v>
                </c:pt>
                <c:pt idx="192">
                  <c:v>-560.2627872515103</c:v>
                </c:pt>
                <c:pt idx="193">
                  <c:v>-557.92004260869794</c:v>
                </c:pt>
                <c:pt idx="194">
                  <c:v>-555.40735011621439</c:v>
                </c:pt>
                <c:pt idx="195">
                  <c:v>-552.72547516453335</c:v>
                </c:pt>
                <c:pt idx="196">
                  <c:v>-549.87523467874541</c:v>
                </c:pt>
                <c:pt idx="197">
                  <c:v>-546.85749686971326</c:v>
                </c:pt>
                <c:pt idx="198">
                  <c:v>-543.67318096960707</c:v>
                </c:pt>
                <c:pt idx="199">
                  <c:v>-540.32325695189729</c:v>
                </c:pt>
                <c:pt idx="200">
                  <c:v>-536.80874523589102</c:v>
                </c:pt>
                <c:pt idx="201">
                  <c:v>-533.13071637590281</c:v>
                </c:pt>
                <c:pt idx="202">
                  <c:v>-529.29029073515323</c:v>
                </c:pt>
                <c:pt idx="203">
                  <c:v>-525.28863814449562</c:v>
                </c:pt>
                <c:pt idx="204">
                  <c:v>-521.12697754607382</c:v>
                </c:pt>
                <c:pt idx="205">
                  <c:v>-516.80657662202111</c:v>
                </c:pt>
                <c:pt idx="206">
                  <c:v>-512.32875140831163</c:v>
                </c:pt>
                <c:pt idx="207">
                  <c:v>-507.69486589388293</c:v>
                </c:pt>
                <c:pt idx="208">
                  <c:v>-502.90633160515262</c:v>
                </c:pt>
                <c:pt idx="209">
                  <c:v>-497.9646071760522</c:v>
                </c:pt>
                <c:pt idx="210">
                  <c:v>-492.87119790371457</c:v>
                </c:pt>
                <c:pt idx="211">
                  <c:v>-487.62765528994498</c:v>
                </c:pt>
                <c:pt idx="212">
                  <c:v>-482.23557656861885</c:v>
                </c:pt>
                <c:pt idx="213">
                  <c:v>-476.69660421914904</c:v>
                </c:pt>
                <c:pt idx="214">
                  <c:v>-471.01242546617038</c:v>
                </c:pt>
                <c:pt idx="215">
                  <c:v>-465.18477176559486</c:v>
                </c:pt>
                <c:pt idx="216">
                  <c:v>-459.21541827719352</c:v>
                </c:pt>
                <c:pt idx="217">
                  <c:v>-453.10618332386531</c:v>
                </c:pt>
                <c:pt idx="218">
                  <c:v>-446.85892783775819</c:v>
                </c:pt>
                <c:pt idx="219">
                  <c:v>-440.47555479341236</c:v>
                </c:pt>
                <c:pt idx="220">
                  <c:v>-433.95800862809386</c:v>
                </c:pt>
                <c:pt idx="221">
                  <c:v>-427.3082746495017</c:v>
                </c:pt>
                <c:pt idx="222">
                  <c:v>-420.5283784310231</c:v>
                </c:pt>
                <c:pt idx="223">
                  <c:v>-413.62038519472435</c:v>
                </c:pt>
                <c:pt idx="224">
                  <c:v>-406.58639918226493</c:v>
                </c:pt>
                <c:pt idx="225">
                  <c:v>-399.42856301392362</c:v>
                </c:pt>
                <c:pt idx="226">
                  <c:v>-392.14905703593689</c:v>
                </c:pt>
                <c:pt idx="227">
                  <c:v>-384.7500986563436</c:v>
                </c:pt>
                <c:pt idx="228">
                  <c:v>-377.23394166954188</c:v>
                </c:pt>
                <c:pt idx="229">
                  <c:v>-369.60287556976022</c:v>
                </c:pt>
                <c:pt idx="230">
                  <c:v>-361.85922485365637</c:v>
                </c:pt>
                <c:pt idx="231">
                  <c:v>-354.00534831225337</c:v>
                </c:pt>
                <c:pt idx="232">
                  <c:v>-346.04363831242773</c:v>
                </c:pt>
                <c:pt idx="233">
                  <c:v>-337.97652006817214</c:v>
                </c:pt>
                <c:pt idx="234">
                  <c:v>-329.80645090185169</c:v>
                </c:pt>
                <c:pt idx="235">
                  <c:v>-321.53591949567965</c:v>
                </c:pt>
                <c:pt idx="236">
                  <c:v>-313.16744513364051</c:v>
                </c:pt>
                <c:pt idx="237">
                  <c:v>-304.70357693409289</c:v>
                </c:pt>
                <c:pt idx="238">
                  <c:v>-296.14689307328132</c:v>
                </c:pt>
                <c:pt idx="239">
                  <c:v>-287.50000000000023</c:v>
                </c:pt>
                <c:pt idx="240">
                  <c:v>-278.76553164164369</c:v>
                </c:pt>
                <c:pt idx="241">
                  <c:v>-269.94614860188716</c:v>
                </c:pt>
                <c:pt idx="242">
                  <c:v>-261.04453735023947</c:v>
                </c:pt>
                <c:pt idx="243">
                  <c:v>-252.0634094037197</c:v>
                </c:pt>
                <c:pt idx="244">
                  <c:v>-243.00550050090246</c:v>
                </c:pt>
                <c:pt idx="245">
                  <c:v>-233.87356976858504</c:v>
                </c:pt>
                <c:pt idx="246">
                  <c:v>-224.67039888133246</c:v>
                </c:pt>
                <c:pt idx="247">
                  <c:v>-215.39879121414955</c:v>
                </c:pt>
                <c:pt idx="248">
                  <c:v>-206.06157098854791</c:v>
                </c:pt>
                <c:pt idx="249">
                  <c:v>-196.66158241225989</c:v>
                </c:pt>
                <c:pt idx="250">
                  <c:v>-187.20168881286506</c:v>
                </c:pt>
                <c:pt idx="251">
                  <c:v>-177.68477176559486</c:v>
                </c:pt>
                <c:pt idx="252">
                  <c:v>-168.11373021557384</c:v>
                </c:pt>
                <c:pt idx="253">
                  <c:v>-158.49147959477435</c:v>
                </c:pt>
                <c:pt idx="254">
                  <c:v>-148.82095093394935</c:v>
                </c:pt>
                <c:pt idx="255">
                  <c:v>-139.10508996980897</c:v>
                </c:pt>
                <c:pt idx="256">
                  <c:v>-129.34685624772251</c:v>
                </c:pt>
                <c:pt idx="257">
                  <c:v>-119.54922222021187</c:v>
                </c:pt>
                <c:pt idx="258">
                  <c:v>-109.71517234151365</c:v>
                </c:pt>
                <c:pt idx="259">
                  <c:v>-99.847702158484935</c:v>
                </c:pt>
                <c:pt idx="260">
                  <c:v>-89.949817398132851</c:v>
                </c:pt>
                <c:pt idx="261">
                  <c:v>-80.024533052037341</c:v>
                </c:pt>
                <c:pt idx="262">
                  <c:v>-70.074872457959628</c:v>
                </c:pt>
                <c:pt idx="263">
                  <c:v>-60.103866378900683</c:v>
                </c:pt>
                <c:pt idx="264">
                  <c:v>-50.11455207990349</c:v>
                </c:pt>
                <c:pt idx="265">
                  <c:v>-40.109972402872209</c:v>
                </c:pt>
                <c:pt idx="266">
                  <c:v>-30.093174839692978</c:v>
                </c:pt>
                <c:pt idx="267">
                  <c:v>-20.067210603938449</c:v>
                </c:pt>
                <c:pt idx="268">
                  <c:v>-10.035133701438012</c:v>
                </c:pt>
                <c:pt idx="269">
                  <c:v>-1.0566905423586848E-13</c:v>
                </c:pt>
                <c:pt idx="270">
                  <c:v>10.0351337014378</c:v>
                </c:pt>
                <c:pt idx="271">
                  <c:v>20.067210603938236</c:v>
                </c:pt>
                <c:pt idx="272">
                  <c:v>30.093174839692768</c:v>
                </c:pt>
                <c:pt idx="273">
                  <c:v>40.109972402872003</c:v>
                </c:pt>
                <c:pt idx="274">
                  <c:v>50.114552079903284</c:v>
                </c:pt>
                <c:pt idx="275">
                  <c:v>60.103866378900463</c:v>
                </c:pt>
                <c:pt idx="276">
                  <c:v>70.074872457959913</c:v>
                </c:pt>
                <c:pt idx="277">
                  <c:v>80.02453305203764</c:v>
                </c:pt>
                <c:pt idx="278">
                  <c:v>89.949817398132637</c:v>
                </c:pt>
                <c:pt idx="279">
                  <c:v>99.847702158484736</c:v>
                </c:pt>
                <c:pt idx="280">
                  <c:v>109.71517234151294</c:v>
                </c:pt>
                <c:pt idx="281">
                  <c:v>119.54922222021118</c:v>
                </c:pt>
                <c:pt idx="282">
                  <c:v>129.34685624772234</c:v>
                </c:pt>
                <c:pt idx="283">
                  <c:v>139.10508996980877</c:v>
                </c:pt>
                <c:pt idx="284">
                  <c:v>148.82095093394966</c:v>
                </c:pt>
                <c:pt idx="285">
                  <c:v>158.49147959477466</c:v>
                </c:pt>
                <c:pt idx="286">
                  <c:v>168.11373021557361</c:v>
                </c:pt>
                <c:pt idx="287">
                  <c:v>177.68477176559466</c:v>
                </c:pt>
                <c:pt idx="288">
                  <c:v>187.20168881286489</c:v>
                </c:pt>
                <c:pt idx="289">
                  <c:v>196.66158241225918</c:v>
                </c:pt>
                <c:pt idx="290">
                  <c:v>206.06157098854723</c:v>
                </c:pt>
                <c:pt idx="291">
                  <c:v>215.39879121414938</c:v>
                </c:pt>
                <c:pt idx="292">
                  <c:v>224.67039888133226</c:v>
                </c:pt>
                <c:pt idx="293">
                  <c:v>233.8735697685853</c:v>
                </c:pt>
                <c:pt idx="294">
                  <c:v>243.00550050090229</c:v>
                </c:pt>
                <c:pt idx="295">
                  <c:v>252.0634094037195</c:v>
                </c:pt>
                <c:pt idx="296">
                  <c:v>261.0445373502393</c:v>
                </c:pt>
                <c:pt idx="297">
                  <c:v>269.94614860188699</c:v>
                </c:pt>
                <c:pt idx="298">
                  <c:v>278.76553164164346</c:v>
                </c:pt>
                <c:pt idx="299">
                  <c:v>287.50000000000006</c:v>
                </c:pt>
                <c:pt idx="300">
                  <c:v>296.14689307328115</c:v>
                </c:pt>
                <c:pt idx="301">
                  <c:v>304.70357693409267</c:v>
                </c:pt>
                <c:pt idx="302">
                  <c:v>313.16744513364034</c:v>
                </c:pt>
                <c:pt idx="303">
                  <c:v>321.53591949567908</c:v>
                </c:pt>
                <c:pt idx="304">
                  <c:v>329.80645090185146</c:v>
                </c:pt>
                <c:pt idx="305">
                  <c:v>337.97652006817191</c:v>
                </c:pt>
                <c:pt idx="306">
                  <c:v>346.04363831242756</c:v>
                </c:pt>
                <c:pt idx="307">
                  <c:v>354.00534831225366</c:v>
                </c:pt>
                <c:pt idx="308">
                  <c:v>361.85922485365654</c:v>
                </c:pt>
                <c:pt idx="309">
                  <c:v>369.60287556976004</c:v>
                </c:pt>
                <c:pt idx="310">
                  <c:v>377.23394166954154</c:v>
                </c:pt>
                <c:pt idx="311">
                  <c:v>384.75009865634325</c:v>
                </c:pt>
                <c:pt idx="312">
                  <c:v>392.14905703593638</c:v>
                </c:pt>
                <c:pt idx="313">
                  <c:v>399.42856301392305</c:v>
                </c:pt>
                <c:pt idx="314">
                  <c:v>406.5863991822647</c:v>
                </c:pt>
                <c:pt idx="315">
                  <c:v>413.62038519472424</c:v>
                </c:pt>
                <c:pt idx="316">
                  <c:v>420.52837843102316</c:v>
                </c:pt>
                <c:pt idx="317">
                  <c:v>427.3082746495017</c:v>
                </c:pt>
                <c:pt idx="318">
                  <c:v>433.95800862809386</c:v>
                </c:pt>
                <c:pt idx="319">
                  <c:v>440.47555479341224</c:v>
                </c:pt>
                <c:pt idx="320">
                  <c:v>446.85892783775807</c:v>
                </c:pt>
                <c:pt idx="321">
                  <c:v>453.10618332386491</c:v>
                </c:pt>
                <c:pt idx="322">
                  <c:v>459.21541827719335</c:v>
                </c:pt>
                <c:pt idx="323">
                  <c:v>465.18477176559475</c:v>
                </c:pt>
                <c:pt idx="324">
                  <c:v>471.01242546617016</c:v>
                </c:pt>
                <c:pt idx="325">
                  <c:v>476.69660421914881</c:v>
                </c:pt>
                <c:pt idx="326">
                  <c:v>482.23557656861885</c:v>
                </c:pt>
                <c:pt idx="327">
                  <c:v>487.62765528994458</c:v>
                </c:pt>
                <c:pt idx="328">
                  <c:v>492.87119790371446</c:v>
                </c:pt>
                <c:pt idx="329">
                  <c:v>497.96460717605208</c:v>
                </c:pt>
                <c:pt idx="330">
                  <c:v>502.90633160515262</c:v>
                </c:pt>
                <c:pt idx="331">
                  <c:v>507.69486589388293</c:v>
                </c:pt>
                <c:pt idx="332">
                  <c:v>512.32875140831152</c:v>
                </c:pt>
                <c:pt idx="333">
                  <c:v>516.80657662202111</c:v>
                </c:pt>
                <c:pt idx="334">
                  <c:v>521.12697754607359</c:v>
                </c:pt>
                <c:pt idx="335">
                  <c:v>525.28863814449551</c:v>
                </c:pt>
                <c:pt idx="336">
                  <c:v>529.29029073515301</c:v>
                </c:pt>
                <c:pt idx="337">
                  <c:v>533.13071637590269</c:v>
                </c:pt>
                <c:pt idx="338">
                  <c:v>536.80874523589091</c:v>
                </c:pt>
                <c:pt idx="339">
                  <c:v>540.32325695189729</c:v>
                </c:pt>
                <c:pt idx="340">
                  <c:v>543.67318096960696</c:v>
                </c:pt>
                <c:pt idx="341">
                  <c:v>546.85749686971326</c:v>
                </c:pt>
                <c:pt idx="342">
                  <c:v>549.87523467874553</c:v>
                </c:pt>
                <c:pt idx="343">
                  <c:v>552.72547516453324</c:v>
                </c:pt>
                <c:pt idx="344">
                  <c:v>555.40735011621427</c:v>
                </c:pt>
                <c:pt idx="345">
                  <c:v>557.92004260869794</c:v>
                </c:pt>
                <c:pt idx="346">
                  <c:v>560.26278725151019</c:v>
                </c:pt>
                <c:pt idx="347">
                  <c:v>562.43487042193817</c:v>
                </c:pt>
                <c:pt idx="348">
                  <c:v>564.43563048240674</c:v>
                </c:pt>
                <c:pt idx="349">
                  <c:v>566.26445798201951</c:v>
                </c:pt>
                <c:pt idx="350">
                  <c:v>567.92079584220414</c:v>
                </c:pt>
                <c:pt idx="351">
                  <c:v>569.4041395264029</c:v>
                </c:pt>
                <c:pt idx="352">
                  <c:v>570.71403719376019</c:v>
                </c:pt>
                <c:pt idx="353">
                  <c:v>571.85008983675709</c:v>
                </c:pt>
                <c:pt idx="354">
                  <c:v>572.81195140275372</c:v>
                </c:pt>
                <c:pt idx="355">
                  <c:v>573.59932889939898</c:v>
                </c:pt>
                <c:pt idx="356">
                  <c:v>574.21198248387998</c:v>
                </c:pt>
                <c:pt idx="357">
                  <c:v>574.64972553598011</c:v>
                </c:pt>
                <c:pt idx="358">
                  <c:v>574.91242471492501</c:v>
                </c:pt>
                <c:pt idx="359">
                  <c:v>575</c:v>
                </c:pt>
              </c:numCache>
            </c:numRef>
          </c:xVal>
          <c:yVal>
            <c:numRef>
              <c:f>Aufsicht!$O$11:$O$370</c:f>
              <c:numCache>
                <c:formatCode>General</c:formatCode>
                <c:ptCount val="360"/>
                <c:pt idx="0">
                  <c:v>10.035133701438019</c:v>
                </c:pt>
                <c:pt idx="1">
                  <c:v>20.067210603938058</c:v>
                </c:pt>
                <c:pt idx="2">
                  <c:v>30.093174839692701</c:v>
                </c:pt>
                <c:pt idx="3">
                  <c:v>40.109972402872046</c:v>
                </c:pt>
                <c:pt idx="4">
                  <c:v>50.114552079903447</c:v>
                </c:pt>
                <c:pt idx="5">
                  <c:v>60.10386637890074</c:v>
                </c:pt>
                <c:pt idx="6">
                  <c:v>70.074872457959799</c:v>
                </c:pt>
                <c:pt idx="7">
                  <c:v>80.024533052037626</c:v>
                </c:pt>
                <c:pt idx="8">
                  <c:v>89.949817398132751</c:v>
                </c:pt>
                <c:pt idx="9">
                  <c:v>99.847702158484935</c:v>
                </c:pt>
                <c:pt idx="10">
                  <c:v>109.71517234151327</c:v>
                </c:pt>
                <c:pt idx="11">
                  <c:v>119.5492222202116</c:v>
                </c:pt>
                <c:pt idx="12">
                  <c:v>129.34685624772237</c:v>
                </c:pt>
                <c:pt idx="13">
                  <c:v>139.10508996980894</c:v>
                </c:pt>
                <c:pt idx="14">
                  <c:v>148.82095093394943</c:v>
                </c:pt>
                <c:pt idx="15">
                  <c:v>158.49147959477452</c:v>
                </c:pt>
                <c:pt idx="16">
                  <c:v>168.11373021557364</c:v>
                </c:pt>
                <c:pt idx="17">
                  <c:v>177.68477176559475</c:v>
                </c:pt>
                <c:pt idx="18">
                  <c:v>187.20168881286506</c:v>
                </c:pt>
                <c:pt idx="19">
                  <c:v>196.66158241225952</c:v>
                </c:pt>
                <c:pt idx="20">
                  <c:v>206.06157098854766</c:v>
                </c:pt>
                <c:pt idx="21">
                  <c:v>215.39879121414941</c:v>
                </c:pt>
                <c:pt idx="22">
                  <c:v>224.67039888133237</c:v>
                </c:pt>
                <c:pt idx="23">
                  <c:v>233.8735697685851</c:v>
                </c:pt>
                <c:pt idx="24">
                  <c:v>243.00550050090217</c:v>
                </c:pt>
                <c:pt idx="25">
                  <c:v>252.0634094037195</c:v>
                </c:pt>
                <c:pt idx="26">
                  <c:v>261.04453735023935</c:v>
                </c:pt>
                <c:pt idx="27">
                  <c:v>269.94614860188722</c:v>
                </c:pt>
                <c:pt idx="28">
                  <c:v>278.7655316416438</c:v>
                </c:pt>
                <c:pt idx="29">
                  <c:v>287.49999999999994</c:v>
                </c:pt>
                <c:pt idx="30">
                  <c:v>296.14689307328115</c:v>
                </c:pt>
                <c:pt idx="31">
                  <c:v>304.70357693409284</c:v>
                </c:pt>
                <c:pt idx="32">
                  <c:v>313.16744513364057</c:v>
                </c:pt>
                <c:pt idx="33">
                  <c:v>321.53591949567948</c:v>
                </c:pt>
                <c:pt idx="34">
                  <c:v>329.80645090185146</c:v>
                </c:pt>
                <c:pt idx="35">
                  <c:v>337.97652006817208</c:v>
                </c:pt>
                <c:pt idx="36">
                  <c:v>346.04363831242773</c:v>
                </c:pt>
                <c:pt idx="37">
                  <c:v>354.00534831225343</c:v>
                </c:pt>
                <c:pt idx="38">
                  <c:v>361.85922485365649</c:v>
                </c:pt>
                <c:pt idx="39">
                  <c:v>369.60287556976004</c:v>
                </c:pt>
                <c:pt idx="40">
                  <c:v>377.23394166954159</c:v>
                </c:pt>
                <c:pt idx="41">
                  <c:v>384.75009865634348</c:v>
                </c:pt>
                <c:pt idx="42">
                  <c:v>392.14905703593661</c:v>
                </c:pt>
                <c:pt idx="43">
                  <c:v>399.42856301392339</c:v>
                </c:pt>
                <c:pt idx="44">
                  <c:v>406.58639918226481</c:v>
                </c:pt>
                <c:pt idx="45">
                  <c:v>413.62038519472435</c:v>
                </c:pt>
                <c:pt idx="46">
                  <c:v>420.52837843102299</c:v>
                </c:pt>
                <c:pt idx="47">
                  <c:v>427.30827464950164</c:v>
                </c:pt>
                <c:pt idx="48">
                  <c:v>433.95800862809392</c:v>
                </c:pt>
                <c:pt idx="49">
                  <c:v>440.47555479341236</c:v>
                </c:pt>
                <c:pt idx="50">
                  <c:v>446.85892783775819</c:v>
                </c:pt>
                <c:pt idx="51">
                  <c:v>453.10618332386514</c:v>
                </c:pt>
                <c:pt idx="52">
                  <c:v>459.21541827719335</c:v>
                </c:pt>
                <c:pt idx="53">
                  <c:v>465.1847717655948</c:v>
                </c:pt>
                <c:pt idx="54">
                  <c:v>471.01242546617027</c:v>
                </c:pt>
                <c:pt idx="55">
                  <c:v>476.69660421914898</c:v>
                </c:pt>
                <c:pt idx="56">
                  <c:v>482.23557656861874</c:v>
                </c:pt>
                <c:pt idx="57">
                  <c:v>487.62765528994493</c:v>
                </c:pt>
                <c:pt idx="58">
                  <c:v>492.87119790371452</c:v>
                </c:pt>
                <c:pt idx="59">
                  <c:v>497.9646071760522</c:v>
                </c:pt>
                <c:pt idx="60">
                  <c:v>502.90633160515256</c:v>
                </c:pt>
                <c:pt idx="61">
                  <c:v>507.69486589388293</c:v>
                </c:pt>
                <c:pt idx="62">
                  <c:v>512.32875140831152</c:v>
                </c:pt>
                <c:pt idx="63">
                  <c:v>516.806576622021</c:v>
                </c:pt>
                <c:pt idx="64">
                  <c:v>521.1269775460737</c:v>
                </c:pt>
                <c:pt idx="65">
                  <c:v>525.28863814449551</c:v>
                </c:pt>
                <c:pt idx="66">
                  <c:v>529.29029073515312</c:v>
                </c:pt>
                <c:pt idx="67">
                  <c:v>533.13071637590281</c:v>
                </c:pt>
                <c:pt idx="68">
                  <c:v>536.80874523589102</c:v>
                </c:pt>
                <c:pt idx="69">
                  <c:v>540.32325695189729</c:v>
                </c:pt>
                <c:pt idx="70">
                  <c:v>543.67318096960707</c:v>
                </c:pt>
                <c:pt idx="71">
                  <c:v>546.85749686971326</c:v>
                </c:pt>
                <c:pt idx="72">
                  <c:v>549.87523467874541</c:v>
                </c:pt>
                <c:pt idx="73">
                  <c:v>552.72547516453335</c:v>
                </c:pt>
                <c:pt idx="74">
                  <c:v>555.40735011621427</c:v>
                </c:pt>
                <c:pt idx="75">
                  <c:v>557.92004260869794</c:v>
                </c:pt>
                <c:pt idx="76">
                  <c:v>560.2627872515103</c:v>
                </c:pt>
                <c:pt idx="77">
                  <c:v>562.43487042193817</c:v>
                </c:pt>
                <c:pt idx="78">
                  <c:v>564.43563048240674</c:v>
                </c:pt>
                <c:pt idx="79">
                  <c:v>566.26445798201962</c:v>
                </c:pt>
                <c:pt idx="80">
                  <c:v>567.92079584220426</c:v>
                </c:pt>
                <c:pt idx="81">
                  <c:v>569.4041395264029</c:v>
                </c:pt>
                <c:pt idx="82">
                  <c:v>570.71403719376019</c:v>
                </c:pt>
                <c:pt idx="83">
                  <c:v>571.85008983675709</c:v>
                </c:pt>
                <c:pt idx="84">
                  <c:v>572.81195140275372</c:v>
                </c:pt>
                <c:pt idx="85">
                  <c:v>573.59932889939887</c:v>
                </c:pt>
                <c:pt idx="86">
                  <c:v>574.21198248387998</c:v>
                </c:pt>
                <c:pt idx="87">
                  <c:v>574.64972553598011</c:v>
                </c:pt>
                <c:pt idx="88">
                  <c:v>574.91242471492501</c:v>
                </c:pt>
                <c:pt idx="89">
                  <c:v>575</c:v>
                </c:pt>
                <c:pt idx="90">
                  <c:v>574.91242471492501</c:v>
                </c:pt>
                <c:pt idx="91">
                  <c:v>574.64972553598011</c:v>
                </c:pt>
                <c:pt idx="92">
                  <c:v>574.21198248387998</c:v>
                </c:pt>
                <c:pt idx="93">
                  <c:v>573.59932889939887</c:v>
                </c:pt>
                <c:pt idx="94">
                  <c:v>572.81195140275372</c:v>
                </c:pt>
                <c:pt idx="95">
                  <c:v>571.85008983675721</c:v>
                </c:pt>
                <c:pt idx="96">
                  <c:v>570.71403719376019</c:v>
                </c:pt>
                <c:pt idx="97">
                  <c:v>569.40413952640301</c:v>
                </c:pt>
                <c:pt idx="98">
                  <c:v>567.92079584220414</c:v>
                </c:pt>
                <c:pt idx="99">
                  <c:v>566.26445798201962</c:v>
                </c:pt>
                <c:pt idx="100">
                  <c:v>564.43563048240674</c:v>
                </c:pt>
                <c:pt idx="101">
                  <c:v>562.43487042193829</c:v>
                </c:pt>
                <c:pt idx="102">
                  <c:v>560.2627872515103</c:v>
                </c:pt>
                <c:pt idx="103">
                  <c:v>557.92004260869794</c:v>
                </c:pt>
                <c:pt idx="104">
                  <c:v>555.40735011621427</c:v>
                </c:pt>
                <c:pt idx="105">
                  <c:v>552.72547516453335</c:v>
                </c:pt>
                <c:pt idx="106">
                  <c:v>549.87523467874541</c:v>
                </c:pt>
                <c:pt idx="107">
                  <c:v>546.85749686971337</c:v>
                </c:pt>
                <c:pt idx="108">
                  <c:v>543.67318096960719</c:v>
                </c:pt>
                <c:pt idx="109">
                  <c:v>540.32325695189729</c:v>
                </c:pt>
                <c:pt idx="110">
                  <c:v>536.80874523589102</c:v>
                </c:pt>
                <c:pt idx="111">
                  <c:v>533.13071637590281</c:v>
                </c:pt>
                <c:pt idx="112">
                  <c:v>529.29029073515323</c:v>
                </c:pt>
                <c:pt idx="113">
                  <c:v>525.28863814449551</c:v>
                </c:pt>
                <c:pt idx="114">
                  <c:v>521.12697754607382</c:v>
                </c:pt>
                <c:pt idx="115">
                  <c:v>516.806576622021</c:v>
                </c:pt>
                <c:pt idx="116">
                  <c:v>512.32875140831152</c:v>
                </c:pt>
                <c:pt idx="117">
                  <c:v>507.6948658938831</c:v>
                </c:pt>
                <c:pt idx="118">
                  <c:v>502.90633160515262</c:v>
                </c:pt>
                <c:pt idx="119">
                  <c:v>497.96460717605225</c:v>
                </c:pt>
                <c:pt idx="120">
                  <c:v>492.87119790371457</c:v>
                </c:pt>
                <c:pt idx="121">
                  <c:v>487.62765528994498</c:v>
                </c:pt>
                <c:pt idx="122">
                  <c:v>482.23557656861874</c:v>
                </c:pt>
                <c:pt idx="123">
                  <c:v>476.69660421914898</c:v>
                </c:pt>
                <c:pt idx="124">
                  <c:v>471.01242546617038</c:v>
                </c:pt>
                <c:pt idx="125">
                  <c:v>465.1847717655948</c:v>
                </c:pt>
                <c:pt idx="126">
                  <c:v>459.21541827719329</c:v>
                </c:pt>
                <c:pt idx="127">
                  <c:v>453.10618332386514</c:v>
                </c:pt>
                <c:pt idx="128">
                  <c:v>446.85892783775836</c:v>
                </c:pt>
                <c:pt idx="129">
                  <c:v>440.47555479341236</c:v>
                </c:pt>
                <c:pt idx="130">
                  <c:v>433.95800862809381</c:v>
                </c:pt>
                <c:pt idx="131">
                  <c:v>427.3082746495017</c:v>
                </c:pt>
                <c:pt idx="132">
                  <c:v>420.5283784310231</c:v>
                </c:pt>
                <c:pt idx="133">
                  <c:v>413.62038519472458</c:v>
                </c:pt>
                <c:pt idx="134">
                  <c:v>406.58639918226487</c:v>
                </c:pt>
                <c:pt idx="135">
                  <c:v>399.42856301392334</c:v>
                </c:pt>
                <c:pt idx="136">
                  <c:v>392.14905703593666</c:v>
                </c:pt>
                <c:pt idx="137">
                  <c:v>384.75009865634354</c:v>
                </c:pt>
                <c:pt idx="138">
                  <c:v>377.23394166954171</c:v>
                </c:pt>
                <c:pt idx="139">
                  <c:v>369.60287556976022</c:v>
                </c:pt>
                <c:pt idx="140">
                  <c:v>361.85922485365671</c:v>
                </c:pt>
                <c:pt idx="141">
                  <c:v>354.0053483122536</c:v>
                </c:pt>
                <c:pt idx="142">
                  <c:v>346.04363831242767</c:v>
                </c:pt>
                <c:pt idx="143">
                  <c:v>337.97652006817214</c:v>
                </c:pt>
                <c:pt idx="144">
                  <c:v>329.80645090185169</c:v>
                </c:pt>
                <c:pt idx="145">
                  <c:v>321.53591949567948</c:v>
                </c:pt>
                <c:pt idx="146">
                  <c:v>313.16744513364051</c:v>
                </c:pt>
                <c:pt idx="147">
                  <c:v>304.70357693409284</c:v>
                </c:pt>
                <c:pt idx="148">
                  <c:v>296.14689307328126</c:v>
                </c:pt>
                <c:pt idx="149">
                  <c:v>287.49999999999994</c:v>
                </c:pt>
                <c:pt idx="150">
                  <c:v>278.76553164164386</c:v>
                </c:pt>
                <c:pt idx="151">
                  <c:v>269.94614860188739</c:v>
                </c:pt>
                <c:pt idx="152">
                  <c:v>261.04453735023947</c:v>
                </c:pt>
                <c:pt idx="153">
                  <c:v>252.06340940371945</c:v>
                </c:pt>
                <c:pt idx="154">
                  <c:v>243.0055005009022</c:v>
                </c:pt>
                <c:pt idx="155">
                  <c:v>233.87356976858524</c:v>
                </c:pt>
                <c:pt idx="156">
                  <c:v>224.67039888133263</c:v>
                </c:pt>
                <c:pt idx="157">
                  <c:v>215.39879121414953</c:v>
                </c:pt>
                <c:pt idx="158">
                  <c:v>206.06157098854763</c:v>
                </c:pt>
                <c:pt idx="159">
                  <c:v>196.66158241225961</c:v>
                </c:pt>
                <c:pt idx="160">
                  <c:v>187.20168881286529</c:v>
                </c:pt>
                <c:pt idx="161">
                  <c:v>177.6847717655948</c:v>
                </c:pt>
                <c:pt idx="162">
                  <c:v>168.11373021557381</c:v>
                </c:pt>
                <c:pt idx="163">
                  <c:v>158.4914795947748</c:v>
                </c:pt>
                <c:pt idx="164">
                  <c:v>148.82095093394958</c:v>
                </c:pt>
                <c:pt idx="165">
                  <c:v>139.10508996980894</c:v>
                </c:pt>
                <c:pt idx="166">
                  <c:v>129.34685624772226</c:v>
                </c:pt>
                <c:pt idx="167">
                  <c:v>119.5492222202116</c:v>
                </c:pt>
                <c:pt idx="168">
                  <c:v>109.71517234151335</c:v>
                </c:pt>
                <c:pt idx="169">
                  <c:v>99.847702158484907</c:v>
                </c:pt>
                <c:pt idx="170">
                  <c:v>89.949817398132808</c:v>
                </c:pt>
                <c:pt idx="171">
                  <c:v>80.024533052037796</c:v>
                </c:pt>
                <c:pt idx="172">
                  <c:v>70.074872457959842</c:v>
                </c:pt>
                <c:pt idx="173">
                  <c:v>60.103866378900896</c:v>
                </c:pt>
                <c:pt idx="174">
                  <c:v>50.114552079903717</c:v>
                </c:pt>
                <c:pt idx="175">
                  <c:v>40.109972402872174</c:v>
                </c:pt>
                <c:pt idx="176">
                  <c:v>30.09317483969269</c:v>
                </c:pt>
                <c:pt idx="177">
                  <c:v>20.067210603937902</c:v>
                </c:pt>
                <c:pt idx="178">
                  <c:v>10.035133701437978</c:v>
                </c:pt>
                <c:pt idx="179">
                  <c:v>7.0446036157245651E-14</c:v>
                </c:pt>
                <c:pt idx="180">
                  <c:v>-10.035133701437836</c:v>
                </c:pt>
                <c:pt idx="181">
                  <c:v>-20.067210603938019</c:v>
                </c:pt>
                <c:pt idx="182">
                  <c:v>-30.093174839692544</c:v>
                </c:pt>
                <c:pt idx="183">
                  <c:v>-40.109972402871776</c:v>
                </c:pt>
                <c:pt idx="184">
                  <c:v>-50.114552079903319</c:v>
                </c:pt>
                <c:pt idx="185">
                  <c:v>-60.103866378900506</c:v>
                </c:pt>
                <c:pt idx="186">
                  <c:v>-70.074872457959955</c:v>
                </c:pt>
                <c:pt idx="187">
                  <c:v>-80.024533052037668</c:v>
                </c:pt>
                <c:pt idx="188">
                  <c:v>-89.949817398132666</c:v>
                </c:pt>
                <c:pt idx="189">
                  <c:v>-99.847702158485021</c:v>
                </c:pt>
                <c:pt idx="190">
                  <c:v>-109.71517234151321</c:v>
                </c:pt>
                <c:pt idx="191">
                  <c:v>-119.54922222021146</c:v>
                </c:pt>
                <c:pt idx="192">
                  <c:v>-129.34685624772237</c:v>
                </c:pt>
                <c:pt idx="193">
                  <c:v>-139.10508996980883</c:v>
                </c:pt>
                <c:pt idx="194">
                  <c:v>-148.82095093394921</c:v>
                </c:pt>
                <c:pt idx="195">
                  <c:v>-158.49147959477443</c:v>
                </c:pt>
                <c:pt idx="196">
                  <c:v>-168.11373021557341</c:v>
                </c:pt>
                <c:pt idx="197">
                  <c:v>-177.68477176559495</c:v>
                </c:pt>
                <c:pt idx="198">
                  <c:v>-187.20168881286514</c:v>
                </c:pt>
                <c:pt idx="199">
                  <c:v>-196.66158241225949</c:v>
                </c:pt>
                <c:pt idx="200">
                  <c:v>-206.06157098854774</c:v>
                </c:pt>
                <c:pt idx="201">
                  <c:v>-215.39879121414941</c:v>
                </c:pt>
                <c:pt idx="202">
                  <c:v>-224.67039888133229</c:v>
                </c:pt>
                <c:pt idx="203">
                  <c:v>-233.8735697685849</c:v>
                </c:pt>
                <c:pt idx="204">
                  <c:v>-243.00550050090209</c:v>
                </c:pt>
                <c:pt idx="205">
                  <c:v>-252.06340940371931</c:v>
                </c:pt>
                <c:pt idx="206">
                  <c:v>-261.04453735023907</c:v>
                </c:pt>
                <c:pt idx="207">
                  <c:v>-269.94614860188727</c:v>
                </c:pt>
                <c:pt idx="208">
                  <c:v>-278.76553164164375</c:v>
                </c:pt>
                <c:pt idx="209">
                  <c:v>-287.50000000000006</c:v>
                </c:pt>
                <c:pt idx="210">
                  <c:v>-296.14689307328115</c:v>
                </c:pt>
                <c:pt idx="211">
                  <c:v>-304.70357693409278</c:v>
                </c:pt>
                <c:pt idx="212">
                  <c:v>-313.16744513364057</c:v>
                </c:pt>
                <c:pt idx="213">
                  <c:v>-321.53591949567937</c:v>
                </c:pt>
                <c:pt idx="214">
                  <c:v>-329.80645090185135</c:v>
                </c:pt>
                <c:pt idx="215">
                  <c:v>-337.97652006817196</c:v>
                </c:pt>
                <c:pt idx="216">
                  <c:v>-346.04363831242762</c:v>
                </c:pt>
                <c:pt idx="217">
                  <c:v>-354.00534831225326</c:v>
                </c:pt>
                <c:pt idx="218">
                  <c:v>-361.85922485365666</c:v>
                </c:pt>
                <c:pt idx="219">
                  <c:v>-369.60287556976004</c:v>
                </c:pt>
                <c:pt idx="220">
                  <c:v>-377.23394166954176</c:v>
                </c:pt>
                <c:pt idx="221">
                  <c:v>-384.75009865634348</c:v>
                </c:pt>
                <c:pt idx="222">
                  <c:v>-392.14905703593655</c:v>
                </c:pt>
                <c:pt idx="223">
                  <c:v>-399.42856301392351</c:v>
                </c:pt>
                <c:pt idx="224">
                  <c:v>-406.58639918226481</c:v>
                </c:pt>
                <c:pt idx="225">
                  <c:v>-413.62038519472424</c:v>
                </c:pt>
                <c:pt idx="226">
                  <c:v>-420.52837843102282</c:v>
                </c:pt>
                <c:pt idx="227">
                  <c:v>-427.30827464950158</c:v>
                </c:pt>
                <c:pt idx="228">
                  <c:v>-433.95800862809369</c:v>
                </c:pt>
                <c:pt idx="229">
                  <c:v>-440.4755547934123</c:v>
                </c:pt>
                <c:pt idx="230">
                  <c:v>-446.85892783775842</c:v>
                </c:pt>
                <c:pt idx="231">
                  <c:v>-453.1061833238652</c:v>
                </c:pt>
                <c:pt idx="232">
                  <c:v>-459.21541827719335</c:v>
                </c:pt>
                <c:pt idx="233">
                  <c:v>-465.18477176559475</c:v>
                </c:pt>
                <c:pt idx="234">
                  <c:v>-471.01242546617016</c:v>
                </c:pt>
                <c:pt idx="235">
                  <c:v>-476.69660421914881</c:v>
                </c:pt>
                <c:pt idx="236">
                  <c:v>-482.23557656861885</c:v>
                </c:pt>
                <c:pt idx="237">
                  <c:v>-487.62765528994493</c:v>
                </c:pt>
                <c:pt idx="238">
                  <c:v>-492.87119790371446</c:v>
                </c:pt>
                <c:pt idx="239">
                  <c:v>-497.96460717605208</c:v>
                </c:pt>
                <c:pt idx="240">
                  <c:v>-502.90633160515267</c:v>
                </c:pt>
                <c:pt idx="241">
                  <c:v>-507.69486589388299</c:v>
                </c:pt>
                <c:pt idx="242">
                  <c:v>-512.32875140831152</c:v>
                </c:pt>
                <c:pt idx="243">
                  <c:v>-516.80657662202088</c:v>
                </c:pt>
                <c:pt idx="244">
                  <c:v>-521.12697754607359</c:v>
                </c:pt>
                <c:pt idx="245">
                  <c:v>-525.28863814449551</c:v>
                </c:pt>
                <c:pt idx="246">
                  <c:v>-529.29029073515312</c:v>
                </c:pt>
                <c:pt idx="247">
                  <c:v>-533.13071637590269</c:v>
                </c:pt>
                <c:pt idx="248">
                  <c:v>-536.80874523589091</c:v>
                </c:pt>
                <c:pt idx="249">
                  <c:v>-540.32325695189718</c:v>
                </c:pt>
                <c:pt idx="250">
                  <c:v>-543.67318096960719</c:v>
                </c:pt>
                <c:pt idx="251">
                  <c:v>-546.85749686971326</c:v>
                </c:pt>
                <c:pt idx="252">
                  <c:v>-549.8752346787453</c:v>
                </c:pt>
                <c:pt idx="253">
                  <c:v>-552.72547516453346</c:v>
                </c:pt>
                <c:pt idx="254">
                  <c:v>-555.40735011621427</c:v>
                </c:pt>
                <c:pt idx="255">
                  <c:v>-557.92004260869794</c:v>
                </c:pt>
                <c:pt idx="256">
                  <c:v>-560.26278725151019</c:v>
                </c:pt>
                <c:pt idx="257">
                  <c:v>-562.43487042193817</c:v>
                </c:pt>
                <c:pt idx="258">
                  <c:v>-564.43563048240674</c:v>
                </c:pt>
                <c:pt idx="259">
                  <c:v>-566.26445798201962</c:v>
                </c:pt>
                <c:pt idx="260">
                  <c:v>-567.92079584220414</c:v>
                </c:pt>
                <c:pt idx="261">
                  <c:v>-569.40413952640301</c:v>
                </c:pt>
                <c:pt idx="262">
                  <c:v>-570.71403719376019</c:v>
                </c:pt>
                <c:pt idx="263">
                  <c:v>-571.85008983675721</c:v>
                </c:pt>
                <c:pt idx="264">
                  <c:v>-572.81195140275372</c:v>
                </c:pt>
                <c:pt idx="265">
                  <c:v>-573.59932889939887</c:v>
                </c:pt>
                <c:pt idx="266">
                  <c:v>-574.21198248387998</c:v>
                </c:pt>
                <c:pt idx="267">
                  <c:v>-574.64972553598</c:v>
                </c:pt>
                <c:pt idx="268">
                  <c:v>-574.91242471492501</c:v>
                </c:pt>
                <c:pt idx="269">
                  <c:v>-575</c:v>
                </c:pt>
                <c:pt idx="270">
                  <c:v>-574.91242471492501</c:v>
                </c:pt>
                <c:pt idx="271">
                  <c:v>-574.64972553598011</c:v>
                </c:pt>
                <c:pt idx="272">
                  <c:v>-574.21198248387998</c:v>
                </c:pt>
                <c:pt idx="273">
                  <c:v>-573.59932889939898</c:v>
                </c:pt>
                <c:pt idx="274">
                  <c:v>-572.81195140275372</c:v>
                </c:pt>
                <c:pt idx="275">
                  <c:v>-571.85008983675721</c:v>
                </c:pt>
                <c:pt idx="276">
                  <c:v>-570.71403719376019</c:v>
                </c:pt>
                <c:pt idx="277">
                  <c:v>-569.40413952640301</c:v>
                </c:pt>
                <c:pt idx="278">
                  <c:v>-567.92079584220426</c:v>
                </c:pt>
                <c:pt idx="279">
                  <c:v>-566.26445798201962</c:v>
                </c:pt>
                <c:pt idx="280">
                  <c:v>-564.43563048240685</c:v>
                </c:pt>
                <c:pt idx="281">
                  <c:v>-562.43487042193829</c:v>
                </c:pt>
                <c:pt idx="282">
                  <c:v>-560.2627872515103</c:v>
                </c:pt>
                <c:pt idx="283">
                  <c:v>-557.92004260869805</c:v>
                </c:pt>
                <c:pt idx="284">
                  <c:v>-555.40735011621416</c:v>
                </c:pt>
                <c:pt idx="285">
                  <c:v>-552.72547516453335</c:v>
                </c:pt>
                <c:pt idx="286">
                  <c:v>-549.87523467874541</c:v>
                </c:pt>
                <c:pt idx="287">
                  <c:v>-546.85749686971337</c:v>
                </c:pt>
                <c:pt idx="288">
                  <c:v>-543.6731809696073</c:v>
                </c:pt>
                <c:pt idx="289">
                  <c:v>-540.32325695189741</c:v>
                </c:pt>
                <c:pt idx="290">
                  <c:v>-536.80874523589114</c:v>
                </c:pt>
                <c:pt idx="291">
                  <c:v>-533.13071637590281</c:v>
                </c:pt>
                <c:pt idx="292">
                  <c:v>-529.29029073515323</c:v>
                </c:pt>
                <c:pt idx="293">
                  <c:v>-525.28863814449539</c:v>
                </c:pt>
                <c:pt idx="294">
                  <c:v>-521.1269775460737</c:v>
                </c:pt>
                <c:pt idx="295">
                  <c:v>-516.806576622021</c:v>
                </c:pt>
                <c:pt idx="296">
                  <c:v>-512.32875140831152</c:v>
                </c:pt>
                <c:pt idx="297">
                  <c:v>-507.6948658938831</c:v>
                </c:pt>
                <c:pt idx="298">
                  <c:v>-502.90633160515273</c:v>
                </c:pt>
                <c:pt idx="299">
                  <c:v>-497.9646071760522</c:v>
                </c:pt>
                <c:pt idx="300">
                  <c:v>-492.87119790371457</c:v>
                </c:pt>
                <c:pt idx="301">
                  <c:v>-487.62765528994504</c:v>
                </c:pt>
                <c:pt idx="302">
                  <c:v>-482.23557656861897</c:v>
                </c:pt>
                <c:pt idx="303">
                  <c:v>-476.69660421914921</c:v>
                </c:pt>
                <c:pt idx="304">
                  <c:v>-471.01242546617027</c:v>
                </c:pt>
                <c:pt idx="305">
                  <c:v>-465.18477176559486</c:v>
                </c:pt>
                <c:pt idx="306">
                  <c:v>-459.21541827719352</c:v>
                </c:pt>
                <c:pt idx="307">
                  <c:v>-453.10618332386503</c:v>
                </c:pt>
                <c:pt idx="308">
                  <c:v>-446.85892783775819</c:v>
                </c:pt>
                <c:pt idx="309">
                  <c:v>-440.47555479341241</c:v>
                </c:pt>
                <c:pt idx="310">
                  <c:v>-433.95800862809403</c:v>
                </c:pt>
                <c:pt idx="311">
                  <c:v>-427.30827464950187</c:v>
                </c:pt>
                <c:pt idx="312">
                  <c:v>-420.52837843102333</c:v>
                </c:pt>
                <c:pt idx="313">
                  <c:v>-413.62038519472475</c:v>
                </c:pt>
                <c:pt idx="314">
                  <c:v>-406.58639918226493</c:v>
                </c:pt>
                <c:pt idx="315">
                  <c:v>-399.42856301392362</c:v>
                </c:pt>
                <c:pt idx="316">
                  <c:v>-392.14905703593649</c:v>
                </c:pt>
                <c:pt idx="317">
                  <c:v>-384.75009865634343</c:v>
                </c:pt>
                <c:pt idx="318">
                  <c:v>-377.23394166954176</c:v>
                </c:pt>
                <c:pt idx="319">
                  <c:v>-369.60287556976027</c:v>
                </c:pt>
                <c:pt idx="320">
                  <c:v>-361.85922485365677</c:v>
                </c:pt>
                <c:pt idx="321">
                  <c:v>-354.00534831225383</c:v>
                </c:pt>
                <c:pt idx="322">
                  <c:v>-346.04363831242773</c:v>
                </c:pt>
                <c:pt idx="323">
                  <c:v>-337.97652006817219</c:v>
                </c:pt>
                <c:pt idx="324">
                  <c:v>-329.80645090185175</c:v>
                </c:pt>
                <c:pt idx="325">
                  <c:v>-321.53591949567971</c:v>
                </c:pt>
                <c:pt idx="326">
                  <c:v>-313.16744513364051</c:v>
                </c:pt>
                <c:pt idx="327">
                  <c:v>-304.70357693409335</c:v>
                </c:pt>
                <c:pt idx="328">
                  <c:v>-296.14689307328132</c:v>
                </c:pt>
                <c:pt idx="329">
                  <c:v>-287.50000000000023</c:v>
                </c:pt>
                <c:pt idx="330">
                  <c:v>-278.76553164164369</c:v>
                </c:pt>
                <c:pt idx="331">
                  <c:v>-269.94614860188722</c:v>
                </c:pt>
                <c:pt idx="332">
                  <c:v>-261.04453735023952</c:v>
                </c:pt>
                <c:pt idx="333">
                  <c:v>-252.06340940371928</c:v>
                </c:pt>
                <c:pt idx="334">
                  <c:v>-243.00550050090249</c:v>
                </c:pt>
                <c:pt idx="335">
                  <c:v>-233.8735697685851</c:v>
                </c:pt>
                <c:pt idx="336">
                  <c:v>-224.67039888133297</c:v>
                </c:pt>
                <c:pt idx="337">
                  <c:v>-215.39879121414961</c:v>
                </c:pt>
                <c:pt idx="338">
                  <c:v>-206.06157098854794</c:v>
                </c:pt>
                <c:pt idx="339">
                  <c:v>-196.66158241225943</c:v>
                </c:pt>
                <c:pt idx="340">
                  <c:v>-187.20168881286557</c:v>
                </c:pt>
                <c:pt idx="341">
                  <c:v>-177.68477176559489</c:v>
                </c:pt>
                <c:pt idx="342">
                  <c:v>-168.11373021557336</c:v>
                </c:pt>
                <c:pt idx="343">
                  <c:v>-158.49147959477486</c:v>
                </c:pt>
                <c:pt idx="344">
                  <c:v>-148.8209509339494</c:v>
                </c:pt>
                <c:pt idx="345">
                  <c:v>-139.10508996980903</c:v>
                </c:pt>
                <c:pt idx="346">
                  <c:v>-129.34685624772257</c:v>
                </c:pt>
                <c:pt idx="347">
                  <c:v>-119.54922222021193</c:v>
                </c:pt>
                <c:pt idx="348">
                  <c:v>-109.71517234151318</c:v>
                </c:pt>
                <c:pt idx="349">
                  <c:v>-99.84770215848549</c:v>
                </c:pt>
                <c:pt idx="350">
                  <c:v>-89.949817398132893</c:v>
                </c:pt>
                <c:pt idx="351">
                  <c:v>-80.024533052037881</c:v>
                </c:pt>
                <c:pt idx="352">
                  <c:v>-70.074872457960169</c:v>
                </c:pt>
                <c:pt idx="353">
                  <c:v>-60.103866378900712</c:v>
                </c:pt>
                <c:pt idx="354">
                  <c:v>-50.114552079903532</c:v>
                </c:pt>
                <c:pt idx="355">
                  <c:v>-40.10997240287174</c:v>
                </c:pt>
                <c:pt idx="356">
                  <c:v>-30.093174839693013</c:v>
                </c:pt>
                <c:pt idx="357">
                  <c:v>-20.067210603937973</c:v>
                </c:pt>
                <c:pt idx="358">
                  <c:v>-10.035133701438557</c:v>
                </c:pt>
                <c:pt idx="359">
                  <c:v>-1.408920723144913E-13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4-C7D5-4879-B749-AC6AAB384502}"/>
            </c:ext>
          </c:extLst>
        </c:ser>
        <c:ser>
          <c:idx val="31"/>
          <c:order val="31"/>
          <c:tx>
            <c:strRef>
              <c:f>Aufsicht!$B$33</c:f>
              <c:strCache>
                <c:ptCount val="1"/>
                <c:pt idx="0">
                  <c:v>DL 0°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1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C7D5-4879-B749-AC6AAB38450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Aufsicht!$D$33:$D$34</c:f>
              <c:numCache>
                <c:formatCode>General</c:formatCode>
                <c:ptCount val="2"/>
                <c:pt idx="0">
                  <c:v>0</c:v>
                </c:pt>
                <c:pt idx="1">
                  <c:v>775</c:v>
                </c:pt>
              </c:numCache>
            </c:numRef>
          </c:xVal>
          <c:yVal>
            <c:numRef>
              <c:f>Aufsicht!$E$33:$E$34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6-C7D5-4879-B749-AC6AAB384502}"/>
            </c:ext>
          </c:extLst>
        </c:ser>
        <c:ser>
          <c:idx val="32"/>
          <c:order val="32"/>
          <c:tx>
            <c:strRef>
              <c:f>Aufsicht!$B$36</c:f>
              <c:strCache>
                <c:ptCount val="1"/>
                <c:pt idx="0">
                  <c:v>45°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prstDash val="lgDashDot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C7D5-4879-B749-AC6AAB384502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C7D5-4879-B749-AC6AAB38450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Aufsicht!$D$36:$D$37</c:f>
              <c:numCache>
                <c:formatCode>General</c:formatCode>
                <c:ptCount val="2"/>
                <c:pt idx="0">
                  <c:v>0</c:v>
                </c:pt>
                <c:pt idx="1">
                  <c:v>548.00775541957432</c:v>
                </c:pt>
              </c:numCache>
            </c:numRef>
          </c:xVal>
          <c:yVal>
            <c:numRef>
              <c:f>Aufsicht!$E$36:$E$37</c:f>
              <c:numCache>
                <c:formatCode>General</c:formatCode>
                <c:ptCount val="2"/>
                <c:pt idx="0">
                  <c:v>0</c:v>
                </c:pt>
                <c:pt idx="1">
                  <c:v>548.00775541957432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A-C7D5-4879-B749-AC6AAB384502}"/>
            </c:ext>
          </c:extLst>
        </c:ser>
        <c:ser>
          <c:idx val="33"/>
          <c:order val="33"/>
          <c:tx>
            <c:strRef>
              <c:f>Aufsicht!$B$39</c:f>
              <c:strCache>
                <c:ptCount val="1"/>
                <c:pt idx="0">
                  <c:v>90°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1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C-C7D5-4879-B749-AC6AAB38450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Aufsicht!$D$39:$D$40</c:f>
              <c:numCache>
                <c:formatCode>General</c:formatCode>
                <c:ptCount val="2"/>
                <c:pt idx="0">
                  <c:v>0</c:v>
                </c:pt>
                <c:pt idx="1">
                  <c:v>4.7474502627709025E-14</c:v>
                </c:pt>
              </c:numCache>
            </c:numRef>
          </c:xVal>
          <c:yVal>
            <c:numRef>
              <c:f>Aufsicht!$E$39:$E$40</c:f>
              <c:numCache>
                <c:formatCode>General</c:formatCode>
                <c:ptCount val="2"/>
                <c:pt idx="0">
                  <c:v>0</c:v>
                </c:pt>
                <c:pt idx="1">
                  <c:v>775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D-C7D5-4879-B749-AC6AAB384502}"/>
            </c:ext>
          </c:extLst>
        </c:ser>
        <c:ser>
          <c:idx val="34"/>
          <c:order val="34"/>
          <c:tx>
            <c:strRef>
              <c:f>Aufsicht!$B$42</c:f>
              <c:strCache>
                <c:ptCount val="1"/>
                <c:pt idx="0">
                  <c:v>135°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prstDash val="lgDashDot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C7D5-4879-B749-AC6AAB384502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0-C7D5-4879-B749-AC6AAB38450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Aufsicht!$D$42:$D$43</c:f>
              <c:numCache>
                <c:formatCode>General</c:formatCode>
                <c:ptCount val="2"/>
                <c:pt idx="0">
                  <c:v>0</c:v>
                </c:pt>
                <c:pt idx="1">
                  <c:v>-548.00775541957432</c:v>
                </c:pt>
              </c:numCache>
            </c:numRef>
          </c:xVal>
          <c:yVal>
            <c:numRef>
              <c:f>Aufsicht!$E$42:$E$43</c:f>
              <c:numCache>
                <c:formatCode>General</c:formatCode>
                <c:ptCount val="2"/>
                <c:pt idx="0">
                  <c:v>0</c:v>
                </c:pt>
                <c:pt idx="1">
                  <c:v>548.00775541957432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1-C7D5-4879-B749-AC6AAB384502}"/>
            </c:ext>
          </c:extLst>
        </c:ser>
        <c:ser>
          <c:idx val="35"/>
          <c:order val="35"/>
          <c:tx>
            <c:strRef>
              <c:f>Aufsicht!$B$45</c:f>
              <c:strCache>
                <c:ptCount val="1"/>
                <c:pt idx="0">
                  <c:v>180°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1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2-C7D5-4879-B749-AC6AAB38450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Aufsicht!$D$45:$D$46</c:f>
              <c:numCache>
                <c:formatCode>General</c:formatCode>
                <c:ptCount val="2"/>
                <c:pt idx="0">
                  <c:v>0</c:v>
                </c:pt>
                <c:pt idx="1">
                  <c:v>-775</c:v>
                </c:pt>
              </c:numCache>
            </c:numRef>
          </c:xVal>
          <c:yVal>
            <c:numRef>
              <c:f>Aufsicht!$E$45:$E$46</c:f>
              <c:numCache>
                <c:formatCode>General</c:formatCode>
                <c:ptCount val="2"/>
                <c:pt idx="0">
                  <c:v>0</c:v>
                </c:pt>
                <c:pt idx="1">
                  <c:v>9.4949005255418051E-14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3-C7D5-4879-B749-AC6AAB384502}"/>
            </c:ext>
          </c:extLst>
        </c:ser>
        <c:ser>
          <c:idx val="36"/>
          <c:order val="36"/>
          <c:tx>
            <c:strRef>
              <c:f>Aufsicht!$B$48</c:f>
              <c:strCache>
                <c:ptCount val="1"/>
                <c:pt idx="0">
                  <c:v>225°</c:v>
                </c:pt>
              </c:strCache>
            </c:strRef>
          </c:tx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prstDash val="lgDashDot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C7D5-4879-B749-AC6AAB384502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6-C7D5-4879-B749-AC6AAB38450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Aufsicht!$D$48:$D$49</c:f>
              <c:numCache>
                <c:formatCode>General</c:formatCode>
                <c:ptCount val="2"/>
                <c:pt idx="0">
                  <c:v>0</c:v>
                </c:pt>
                <c:pt idx="1">
                  <c:v>-548.00775541957444</c:v>
                </c:pt>
              </c:numCache>
            </c:numRef>
          </c:xVal>
          <c:yVal>
            <c:numRef>
              <c:f>Aufsicht!$E$48:$E$49</c:f>
              <c:numCache>
                <c:formatCode>General</c:formatCode>
                <c:ptCount val="2"/>
                <c:pt idx="0">
                  <c:v>0</c:v>
                </c:pt>
                <c:pt idx="1">
                  <c:v>-548.00775541957432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7-C7D5-4879-B749-AC6AAB384502}"/>
            </c:ext>
          </c:extLst>
        </c:ser>
        <c:ser>
          <c:idx val="37"/>
          <c:order val="37"/>
          <c:tx>
            <c:strRef>
              <c:f>Aufsicht!$B$51</c:f>
              <c:strCache>
                <c:ptCount val="1"/>
                <c:pt idx="0">
                  <c:v>270°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C7D5-4879-B749-AC6AAB38450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Aufsicht!$D$51:$D$52</c:f>
              <c:numCache>
                <c:formatCode>General</c:formatCode>
                <c:ptCount val="2"/>
                <c:pt idx="0">
                  <c:v>0</c:v>
                </c:pt>
                <c:pt idx="1">
                  <c:v>-1.4242350788312708E-13</c:v>
                </c:pt>
              </c:numCache>
            </c:numRef>
          </c:xVal>
          <c:yVal>
            <c:numRef>
              <c:f>Aufsicht!$E$51:$E$52</c:f>
              <c:numCache>
                <c:formatCode>General</c:formatCode>
                <c:ptCount val="2"/>
                <c:pt idx="0">
                  <c:v>0</c:v>
                </c:pt>
                <c:pt idx="1">
                  <c:v>-775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9-C7D5-4879-B749-AC6AAB384502}"/>
            </c:ext>
          </c:extLst>
        </c:ser>
        <c:ser>
          <c:idx val="38"/>
          <c:order val="38"/>
          <c:tx>
            <c:strRef>
              <c:f>Aufsicht!$B$54</c:f>
              <c:strCache>
                <c:ptCount val="1"/>
                <c:pt idx="0">
                  <c:v>315°</c:v>
                </c:pt>
              </c:strCache>
            </c:strRef>
          </c:tx>
          <c:spPr>
            <a:ln w="190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prstDash val="lgDashDot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C7D5-4879-B749-AC6AAB384502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C7D5-4879-B749-AC6AAB38450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Aufsicht!$D$54:$D$55</c:f>
              <c:numCache>
                <c:formatCode>General</c:formatCode>
                <c:ptCount val="2"/>
                <c:pt idx="0">
                  <c:v>0</c:v>
                </c:pt>
                <c:pt idx="1">
                  <c:v>548.00775541957421</c:v>
                </c:pt>
              </c:numCache>
            </c:numRef>
          </c:xVal>
          <c:yVal>
            <c:numRef>
              <c:f>Aufsicht!$E$54:$E$55</c:f>
              <c:numCache>
                <c:formatCode>General</c:formatCode>
                <c:ptCount val="2"/>
                <c:pt idx="0">
                  <c:v>0</c:v>
                </c:pt>
                <c:pt idx="1">
                  <c:v>-548.00775541957444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C-C7D5-4879-B749-AC6AAB384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56800"/>
        <c:axId val="699757192"/>
      </c:scatterChart>
      <c:valAx>
        <c:axId val="699756800"/>
        <c:scaling>
          <c:orientation val="minMax"/>
          <c:max val="1500"/>
          <c:min val="-1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9757192"/>
        <c:crosses val="autoZero"/>
        <c:crossBetween val="midCat"/>
      </c:valAx>
      <c:valAx>
        <c:axId val="699757192"/>
        <c:scaling>
          <c:orientation val="minMax"/>
          <c:max val="1500"/>
          <c:min val="-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9756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prstDash val="dashDot"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508772583787354E-2"/>
          <c:y val="1.0813327140854301E-2"/>
          <c:w val="0.92146147769170872"/>
          <c:h val="0.9668191513113204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Tabelle3!$K$7</c:f>
              <c:strCache>
                <c:ptCount val="1"/>
                <c:pt idx="0">
                  <c:v>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"/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430-42F0-A1BB-61E91906CCE4}"/>
              </c:ext>
            </c:extLst>
          </c:dPt>
          <c:xVal>
            <c:numRef>
              <c:f>Tabelle3!$L$7:$L$8</c:f>
              <c:numCache>
                <c:formatCode>General</c:formatCode>
                <c:ptCount val="2"/>
                <c:pt idx="0">
                  <c:v>0</c:v>
                </c:pt>
                <c:pt idx="1">
                  <c:v>-500</c:v>
                </c:pt>
              </c:numCache>
            </c:numRef>
          </c:xVal>
          <c:yVal>
            <c:numRef>
              <c:f>Tabelle3!$M$7:$M$8</c:f>
              <c:numCache>
                <c:formatCode>General</c:formatCode>
                <c:ptCount val="2"/>
                <c:pt idx="0">
                  <c:v>170</c:v>
                </c:pt>
                <c:pt idx="1">
                  <c:v>170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430-42F0-A1BB-61E91906CCE4}"/>
            </c:ext>
          </c:extLst>
        </c:ser>
        <c:ser>
          <c:idx val="1"/>
          <c:order val="1"/>
          <c:tx>
            <c:strRef>
              <c:f>Tabelle3!$K$9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Tabelle3!$L$9:$L$10</c:f>
              <c:numCache>
                <c:formatCode>General</c:formatCode>
                <c:ptCount val="2"/>
                <c:pt idx="0">
                  <c:v>-500</c:v>
                </c:pt>
                <c:pt idx="1">
                  <c:v>-500</c:v>
                </c:pt>
              </c:numCache>
            </c:numRef>
          </c:xVal>
          <c:yVal>
            <c:numRef>
              <c:f>Tabelle3!$M$9:$M$10</c:f>
              <c:numCache>
                <c:formatCode>General</c:formatCode>
                <c:ptCount val="2"/>
                <c:pt idx="0">
                  <c:v>170</c:v>
                </c:pt>
                <c:pt idx="1">
                  <c:v>500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3430-42F0-A1BB-61E91906CCE4}"/>
            </c:ext>
          </c:extLst>
        </c:ser>
        <c:ser>
          <c:idx val="2"/>
          <c:order val="2"/>
          <c:tx>
            <c:strRef>
              <c:f>Tabelle3!$K$11</c:f>
              <c:strCache>
                <c:ptCount val="1"/>
                <c:pt idx="0">
                  <c:v>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"/>
            <c:bubble3D val="0"/>
            <c:spPr>
              <a:ln w="19050" cap="rnd">
                <a:solidFill>
                  <a:schemeClr val="tx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430-42F0-A1BB-61E91906CCE4}"/>
              </c:ext>
            </c:extLst>
          </c:dPt>
          <c:xVal>
            <c:numRef>
              <c:f>Tabelle3!$L$11:$L$12</c:f>
              <c:numCache>
                <c:formatCode>General</c:formatCode>
                <c:ptCount val="2"/>
                <c:pt idx="0">
                  <c:v>-500</c:v>
                </c:pt>
                <c:pt idx="1">
                  <c:v>-500</c:v>
                </c:pt>
              </c:numCache>
            </c:numRef>
          </c:xVal>
          <c:yVal>
            <c:numRef>
              <c:f>Tabelle3!$M$11:$M$12</c:f>
              <c:numCache>
                <c:formatCode>General</c:formatCode>
                <c:ptCount val="2"/>
                <c:pt idx="0">
                  <c:v>500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430-42F0-A1BB-61E91906CCE4}"/>
            </c:ext>
          </c:extLst>
        </c:ser>
        <c:ser>
          <c:idx val="3"/>
          <c:order val="3"/>
          <c:tx>
            <c:strRef>
              <c:f>Tabelle3!$K$13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Tabelle3!$L$13:$L$19</c:f>
              <c:numCache>
                <c:formatCode>General</c:formatCode>
                <c:ptCount val="7"/>
                <c:pt idx="0">
                  <c:v>-500</c:v>
                </c:pt>
                <c:pt idx="1">
                  <c:v>-498.22814296703154</c:v>
                </c:pt>
                <c:pt idx="2">
                  <c:v>-493.03332099679079</c:v>
                </c:pt>
                <c:pt idx="3">
                  <c:v>-484.76955262170048</c:v>
                </c:pt>
                <c:pt idx="4">
                  <c:v>-474</c:v>
                </c:pt>
                <c:pt idx="5">
                  <c:v>-461.45859034533106</c:v>
                </c:pt>
                <c:pt idx="6">
                  <c:v>-448</c:v>
                </c:pt>
              </c:numCache>
            </c:numRef>
          </c:xVal>
          <c:yVal>
            <c:numRef>
              <c:f>Tabelle3!$M$13:$M$19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3430-42F0-A1BB-61E91906CCE4}"/>
            </c:ext>
          </c:extLst>
        </c:ser>
        <c:ser>
          <c:idx val="4"/>
          <c:order val="4"/>
          <c:tx>
            <c:strRef>
              <c:f>Tabelle3!$K$20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Tabelle3!$L$20:$L$21</c:f>
              <c:numCache>
                <c:formatCode>General</c:formatCode>
                <c:ptCount val="2"/>
                <c:pt idx="0">
                  <c:v>-448</c:v>
                </c:pt>
                <c:pt idx="1">
                  <c:v>-448</c:v>
                </c:pt>
              </c:numCache>
            </c:numRef>
          </c:xVal>
          <c:yVal>
            <c:numRef>
              <c:f>Tabelle3!$M$20:$M$21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3430-42F0-A1BB-61E91906CCE4}"/>
            </c:ext>
          </c:extLst>
        </c:ser>
        <c:ser>
          <c:idx val="5"/>
          <c:order val="5"/>
          <c:tx>
            <c:strRef>
              <c:f>Tabelle3!$G$22</c:f>
              <c:strCache>
                <c:ptCount val="1"/>
                <c:pt idx="0">
                  <c:v>#WERT!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261490404701664"/>
                  <c:y val="-4.416917605937906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borderCallout2">
                    <a:avLst/>
                  </a:prstGeom>
                </c15:spPr>
                <c15:showDataLabelsRange val="1"/>
                <c15:showLeaderLines val="1"/>
              </c:ext>
            </c:extLst>
          </c:dLbls>
          <c:xVal>
            <c:numRef>
              <c:f>Tabelle3!$L$22:$L$23</c:f>
              <c:numCache>
                <c:formatCode>General</c:formatCode>
                <c:ptCount val="2"/>
                <c:pt idx="0">
                  <c:v>-448</c:v>
                </c:pt>
                <c:pt idx="1">
                  <c:v>0</c:v>
                </c:pt>
              </c:numCache>
            </c:numRef>
          </c:xVal>
          <c:yVal>
            <c:numRef>
              <c:f>Tabelle3!$M$22:$M$23</c:f>
              <c:numCache>
                <c:formatCode>0.000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3430-42F0-A1BB-61E91906CCE4}"/>
            </c:ext>
          </c:extLst>
        </c:ser>
        <c:ser>
          <c:idx val="6"/>
          <c:order val="6"/>
          <c:tx>
            <c:strRef>
              <c:f>Tabelle3!$K$24</c:f>
              <c:strCache>
                <c:ptCount val="1"/>
                <c:pt idx="0">
                  <c:v>7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Tabelle3!$L$24:$L$25</c:f>
              <c:numCache>
                <c:formatCode>General</c:formatCode>
                <c:ptCount val="2"/>
                <c:pt idx="0">
                  <c:v>0</c:v>
                </c:pt>
                <c:pt idx="1">
                  <c:v>152</c:v>
                </c:pt>
              </c:numCache>
            </c:numRef>
          </c:xVal>
          <c:yVal>
            <c:numRef>
              <c:f>Tabelle3!$M$24:$M$25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3430-42F0-A1BB-61E91906CCE4}"/>
            </c:ext>
          </c:extLst>
        </c:ser>
        <c:ser>
          <c:idx val="7"/>
          <c:order val="7"/>
          <c:tx>
            <c:strRef>
              <c:f>Tabelle3!$K$26</c:f>
              <c:strCache>
                <c:ptCount val="1"/>
                <c:pt idx="0">
                  <c:v>8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Tabelle3!$L$26:$L$27</c:f>
              <c:numCache>
                <c:formatCode>General</c:formatCode>
                <c:ptCount val="2"/>
                <c:pt idx="0">
                  <c:v>152</c:v>
                </c:pt>
                <c:pt idx="1">
                  <c:v>152</c:v>
                </c:pt>
              </c:numCache>
            </c:numRef>
          </c:xVal>
          <c:yVal>
            <c:numRef>
              <c:f>Tabelle3!$M$26:$M$27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3430-42F0-A1BB-61E91906CCE4}"/>
            </c:ext>
          </c:extLst>
        </c:ser>
        <c:ser>
          <c:idx val="8"/>
          <c:order val="8"/>
          <c:tx>
            <c:strRef>
              <c:f>Tabelle3!$K$28</c:f>
              <c:strCache>
                <c:ptCount val="1"/>
                <c:pt idx="0">
                  <c:v>9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Tabelle3!$L$28:$L$34</c:f>
              <c:numCache>
                <c:formatCode>General</c:formatCode>
                <c:ptCount val="7"/>
                <c:pt idx="0">
                  <c:v>152</c:v>
                </c:pt>
                <c:pt idx="1">
                  <c:v>242.06902769567722</c:v>
                </c:pt>
                <c:pt idx="2">
                  <c:v>326</c:v>
                </c:pt>
                <c:pt idx="3">
                  <c:v>398.07315985291859</c:v>
                </c:pt>
                <c:pt idx="4">
                  <c:v>453.37684051698466</c:v>
                </c:pt>
                <c:pt idx="5">
                  <c:v>488.14218754859576</c:v>
                </c:pt>
                <c:pt idx="6">
                  <c:v>500</c:v>
                </c:pt>
              </c:numCache>
            </c:numRef>
          </c:xVal>
          <c:yVal>
            <c:numRef>
              <c:f>Tabelle3!$M$28:$M$34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3430-42F0-A1BB-61E91906CCE4}"/>
            </c:ext>
          </c:extLst>
        </c:ser>
        <c:ser>
          <c:idx val="9"/>
          <c:order val="9"/>
          <c:tx>
            <c:strRef>
              <c:f>Tabelle3!$K$35</c:f>
              <c:strCache>
                <c:ptCount val="1"/>
                <c:pt idx="0">
                  <c:v>10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Tabelle3!$L$35:$L$36</c:f>
              <c:numCache>
                <c:formatCode>General</c:formatCode>
                <c:ptCount val="2"/>
                <c:pt idx="0">
                  <c:v>500</c:v>
                </c:pt>
                <c:pt idx="1">
                  <c:v>500</c:v>
                </c:pt>
              </c:numCache>
            </c:numRef>
          </c:xVal>
          <c:yVal>
            <c:numRef>
              <c:f>Tabelle3!$M$35:$M$36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3430-42F0-A1BB-61E91906CCE4}"/>
            </c:ext>
          </c:extLst>
        </c:ser>
        <c:ser>
          <c:idx val="10"/>
          <c:order val="10"/>
          <c:tx>
            <c:strRef>
              <c:f>Tabelle3!$K$37</c:f>
              <c:strCache>
                <c:ptCount val="1"/>
                <c:pt idx="0">
                  <c:v>11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Tabelle3!$L$37:$L$38</c:f>
              <c:numCache>
                <c:formatCode>General</c:formatCode>
                <c:ptCount val="2"/>
                <c:pt idx="0">
                  <c:v>500</c:v>
                </c:pt>
                <c:pt idx="1">
                  <c:v>500</c:v>
                </c:pt>
              </c:numCache>
            </c:numRef>
          </c:xVal>
          <c:yVal>
            <c:numRef>
              <c:f>Tabelle3!$M$37:$M$38</c:f>
              <c:numCache>
                <c:formatCode>General</c:formatCode>
                <c:ptCount val="2"/>
                <c:pt idx="0">
                  <c:v>0</c:v>
                </c:pt>
                <c:pt idx="1">
                  <c:v>170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3430-42F0-A1BB-61E91906CCE4}"/>
            </c:ext>
          </c:extLst>
        </c:ser>
        <c:ser>
          <c:idx val="11"/>
          <c:order val="11"/>
          <c:tx>
            <c:strRef>
              <c:f>Tabelle3!$K$39</c:f>
              <c:strCache>
                <c:ptCount val="1"/>
                <c:pt idx="0">
                  <c:v>12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Tabelle3!$L$39:$L$40</c:f>
              <c:numCache>
                <c:formatCode>General</c:formatCode>
                <c:ptCount val="2"/>
                <c:pt idx="0">
                  <c:v>500</c:v>
                </c:pt>
                <c:pt idx="1">
                  <c:v>0</c:v>
                </c:pt>
              </c:numCache>
            </c:numRef>
          </c:xVal>
          <c:yVal>
            <c:numRef>
              <c:f>Tabelle3!$M$39:$M$40</c:f>
              <c:numCache>
                <c:formatCode>General</c:formatCode>
                <c:ptCount val="2"/>
                <c:pt idx="0">
                  <c:v>170</c:v>
                </c:pt>
                <c:pt idx="1">
                  <c:v>170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1-3430-42F0-A1BB-61E91906CCE4}"/>
            </c:ext>
          </c:extLst>
        </c:ser>
        <c:ser>
          <c:idx val="12"/>
          <c:order val="12"/>
          <c:tx>
            <c:strRef>
              <c:f>Tabelle3!$K$41</c:f>
              <c:strCache>
                <c:ptCount val="1"/>
                <c:pt idx="0">
                  <c:v>13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Tabelle3!$L$41:$L$42</c:f>
              <c:numCache>
                <c:formatCode>General</c:formatCode>
                <c:ptCount val="2"/>
                <c:pt idx="0">
                  <c:v>0</c:v>
                </c:pt>
                <c:pt idx="1">
                  <c:v>-525</c:v>
                </c:pt>
              </c:numCache>
            </c:numRef>
          </c:xVal>
          <c:yVal>
            <c:numRef>
              <c:f>Tabelle3!$M$41:$M$42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3430-42F0-A1BB-61E91906CCE4}"/>
            </c:ext>
          </c:extLst>
        </c:ser>
        <c:ser>
          <c:idx val="13"/>
          <c:order val="13"/>
          <c:tx>
            <c:strRef>
              <c:f>Tabelle3!$K$43</c:f>
              <c:strCache>
                <c:ptCount val="1"/>
                <c:pt idx="0">
                  <c:v>14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Tabelle3!$L$43:$L$44</c:f>
              <c:numCache>
                <c:formatCode>General</c:formatCode>
                <c:ptCount val="2"/>
                <c:pt idx="0">
                  <c:v>-525</c:v>
                </c:pt>
                <c:pt idx="1">
                  <c:v>-525</c:v>
                </c:pt>
              </c:numCache>
            </c:numRef>
          </c:xVal>
          <c:yVal>
            <c:numRef>
              <c:f>Tabelle3!$M$43:$M$44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3-3430-42F0-A1BB-61E91906CCE4}"/>
            </c:ext>
          </c:extLst>
        </c:ser>
        <c:ser>
          <c:idx val="14"/>
          <c:order val="14"/>
          <c:tx>
            <c:strRef>
              <c:f>Tabelle3!$K$45</c:f>
              <c:strCache>
                <c:ptCount val="1"/>
                <c:pt idx="0">
                  <c:v>15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Tabelle3!$L$45:$L$46</c:f>
              <c:numCache>
                <c:formatCode>General</c:formatCode>
                <c:ptCount val="2"/>
                <c:pt idx="0">
                  <c:v>-525</c:v>
                </c:pt>
                <c:pt idx="1">
                  <c:v>-525</c:v>
                </c:pt>
              </c:numCache>
            </c:numRef>
          </c:xVal>
          <c:yVal>
            <c:numRef>
              <c:f>Tabelle3!$M$45:$M$46</c:f>
              <c:numCache>
                <c:formatCode>General</c:formatCode>
                <c:ptCount val="2"/>
                <c:pt idx="0">
                  <c:v>500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4-3430-42F0-A1BB-61E91906CCE4}"/>
            </c:ext>
          </c:extLst>
        </c:ser>
        <c:ser>
          <c:idx val="15"/>
          <c:order val="15"/>
          <c:tx>
            <c:strRef>
              <c:f>Tabelle3!$K$47</c:f>
              <c:strCache>
                <c:ptCount val="1"/>
                <c:pt idx="0">
                  <c:v>16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Tabelle3!$L$47:$L$53</c:f>
              <c:numCache>
                <c:formatCode>General</c:formatCode>
                <c:ptCount val="7"/>
                <c:pt idx="0">
                  <c:v>-525</c:v>
                </c:pt>
                <c:pt idx="1">
                  <c:v>-523.22814296703154</c:v>
                </c:pt>
                <c:pt idx="2">
                  <c:v>-518.03332099679085</c:v>
                </c:pt>
                <c:pt idx="3">
                  <c:v>-509.76955262170048</c:v>
                </c:pt>
                <c:pt idx="4">
                  <c:v>-499</c:v>
                </c:pt>
                <c:pt idx="5">
                  <c:v>-486.45859034533106</c:v>
                </c:pt>
                <c:pt idx="6">
                  <c:v>-473</c:v>
                </c:pt>
              </c:numCache>
            </c:numRef>
          </c:xVal>
          <c:yVal>
            <c:numRef>
              <c:f>Tabelle3!$M$47:$M$53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5-3430-42F0-A1BB-61E91906CCE4}"/>
            </c:ext>
          </c:extLst>
        </c:ser>
        <c:ser>
          <c:idx val="16"/>
          <c:order val="16"/>
          <c:tx>
            <c:strRef>
              <c:f>Tabelle3!$K$54</c:f>
              <c:strCache>
                <c:ptCount val="1"/>
                <c:pt idx="0">
                  <c:v>17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Tabelle3!$L$54:$L$55</c:f>
              <c:numCache>
                <c:formatCode>General</c:formatCode>
                <c:ptCount val="2"/>
                <c:pt idx="0">
                  <c:v>-473</c:v>
                </c:pt>
                <c:pt idx="1">
                  <c:v>-473</c:v>
                </c:pt>
              </c:numCache>
            </c:numRef>
          </c:xVal>
          <c:yVal>
            <c:numRef>
              <c:f>Tabelle3!$M$54:$M$55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6-3430-42F0-A1BB-61E91906CCE4}"/>
            </c:ext>
          </c:extLst>
        </c:ser>
        <c:ser>
          <c:idx val="17"/>
          <c:order val="17"/>
          <c:tx>
            <c:strRef>
              <c:f>Tabelle3!$K$56</c:f>
              <c:strCache>
                <c:ptCount val="1"/>
                <c:pt idx="0">
                  <c:v>18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16778799776818795"/>
                  <c:y val="-2.9446117372919425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Tabelle3!$L$56:$L$57</c:f>
              <c:numCache>
                <c:formatCode>General</c:formatCode>
                <c:ptCount val="2"/>
                <c:pt idx="0">
                  <c:v>-473</c:v>
                </c:pt>
                <c:pt idx="1">
                  <c:v>0</c:v>
                </c:pt>
              </c:numCache>
            </c:numRef>
          </c:xVal>
          <c:yVal>
            <c:numRef>
              <c:f>Tabelle3!$M$56:$M$57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9-3430-42F0-A1BB-61E91906CCE4}"/>
            </c:ext>
          </c:extLst>
        </c:ser>
        <c:ser>
          <c:idx val="18"/>
          <c:order val="18"/>
          <c:tx>
            <c:strRef>
              <c:f>Tabelle3!$G$21</c:f>
              <c:strCache>
                <c:ptCount val="1"/>
                <c:pt idx="0">
                  <c:v>#WERT!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5.3497622476813549E-2"/>
                  <c:y val="-4.416917605937913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9525"/>
            </c:spPr>
            <c:trendlineType val="linear"/>
            <c:dispRSqr val="0"/>
            <c:dispEq val="0"/>
          </c:trendline>
          <c:xVal>
            <c:numRef>
              <c:f>Tabelle3!$L$58:$L$59</c:f>
              <c:numCache>
                <c:formatCode>General</c:formatCode>
                <c:ptCount val="2"/>
                <c:pt idx="0">
                  <c:v>0</c:v>
                </c:pt>
                <c:pt idx="1">
                  <c:v>177</c:v>
                </c:pt>
              </c:numCache>
            </c:numRef>
          </c:xVal>
          <c:yVal>
            <c:numRef>
              <c:f>Tabelle3!$M$58:$M$59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D-3430-42F0-A1BB-61E91906CCE4}"/>
            </c:ext>
          </c:extLst>
        </c:ser>
        <c:ser>
          <c:idx val="19"/>
          <c:order val="19"/>
          <c:tx>
            <c:strRef>
              <c:f>Tabelle3!$K$60</c:f>
              <c:strCache>
                <c:ptCount val="1"/>
                <c:pt idx="0">
                  <c:v>20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Tabelle3!$L$60:$L$61</c:f>
              <c:numCache>
                <c:formatCode>General</c:formatCode>
                <c:ptCount val="2"/>
                <c:pt idx="0">
                  <c:v>177</c:v>
                </c:pt>
                <c:pt idx="1">
                  <c:v>177</c:v>
                </c:pt>
              </c:numCache>
            </c:numRef>
          </c:xVal>
          <c:yVal>
            <c:numRef>
              <c:f>Tabelle3!$M$60:$M$61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E-3430-42F0-A1BB-61E91906CCE4}"/>
            </c:ext>
          </c:extLst>
        </c:ser>
        <c:ser>
          <c:idx val="20"/>
          <c:order val="20"/>
          <c:tx>
            <c:strRef>
              <c:f>Tabelle3!$K$62</c:f>
              <c:strCache>
                <c:ptCount val="1"/>
                <c:pt idx="0">
                  <c:v>21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Tabelle3!$L$62:$L$68</c:f>
              <c:numCache>
                <c:formatCode>General</c:formatCode>
                <c:ptCount val="7"/>
                <c:pt idx="0">
                  <c:v>177</c:v>
                </c:pt>
                <c:pt idx="1">
                  <c:v>267.06902769567722</c:v>
                </c:pt>
                <c:pt idx="2">
                  <c:v>351</c:v>
                </c:pt>
                <c:pt idx="3">
                  <c:v>423.07315985291859</c:v>
                </c:pt>
                <c:pt idx="4">
                  <c:v>478.37684051698466</c:v>
                </c:pt>
                <c:pt idx="5">
                  <c:v>513.14218754859576</c:v>
                </c:pt>
                <c:pt idx="6">
                  <c:v>525</c:v>
                </c:pt>
              </c:numCache>
            </c:numRef>
          </c:xVal>
          <c:yVal>
            <c:numRef>
              <c:f>Tabelle3!$M$62:$M$68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F-3430-42F0-A1BB-61E91906CCE4}"/>
            </c:ext>
          </c:extLst>
        </c:ser>
        <c:ser>
          <c:idx val="21"/>
          <c:order val="21"/>
          <c:tx>
            <c:strRef>
              <c:f>Tabelle3!$K$69</c:f>
              <c:strCache>
                <c:ptCount val="1"/>
                <c:pt idx="0">
                  <c:v>22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Tabelle3!$L$69:$L$70</c:f>
              <c:numCache>
                <c:formatCode>General</c:formatCode>
                <c:ptCount val="2"/>
                <c:pt idx="0">
                  <c:v>525</c:v>
                </c:pt>
                <c:pt idx="1">
                  <c:v>525</c:v>
                </c:pt>
              </c:numCache>
            </c:numRef>
          </c:xVal>
          <c:yVal>
            <c:numRef>
              <c:f>Tabelle3!$M$69:$M$70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0-3430-42F0-A1BB-61E91906CCE4}"/>
            </c:ext>
          </c:extLst>
        </c:ser>
        <c:ser>
          <c:idx val="22"/>
          <c:order val="22"/>
          <c:tx>
            <c:strRef>
              <c:f>Tabelle3!$K$71</c:f>
              <c:strCache>
                <c:ptCount val="1"/>
                <c:pt idx="0">
                  <c:v>23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Tabelle3!$L$71:$L$72</c:f>
              <c:numCache>
                <c:formatCode>General</c:formatCode>
                <c:ptCount val="2"/>
                <c:pt idx="0">
                  <c:v>525</c:v>
                </c:pt>
                <c:pt idx="1">
                  <c:v>525</c:v>
                </c:pt>
              </c:numCache>
            </c:numRef>
          </c:xVal>
          <c:yVal>
            <c:numRef>
              <c:f>Tabelle3!$M$71:$M$72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1-3430-42F0-A1BB-61E91906CCE4}"/>
            </c:ext>
          </c:extLst>
        </c:ser>
        <c:ser>
          <c:idx val="23"/>
          <c:order val="23"/>
          <c:tx>
            <c:strRef>
              <c:f>Tabelle3!$K$73</c:f>
              <c:strCache>
                <c:ptCount val="1"/>
                <c:pt idx="0">
                  <c:v>24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Tabelle3!$L$73:$L$74</c:f>
              <c:numCache>
                <c:formatCode>General</c:formatCode>
                <c:ptCount val="2"/>
                <c:pt idx="0">
                  <c:v>525</c:v>
                </c:pt>
                <c:pt idx="1">
                  <c:v>0</c:v>
                </c:pt>
              </c:numCache>
            </c:numRef>
          </c:xVal>
          <c:yVal>
            <c:numRef>
              <c:f>Tabelle3!$M$73:$M$74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2-3430-42F0-A1BB-61E91906CCE4}"/>
            </c:ext>
          </c:extLst>
        </c:ser>
        <c:ser>
          <c:idx val="24"/>
          <c:order val="24"/>
          <c:tx>
            <c:strRef>
              <c:f>Tabelle3!$K$75</c:f>
              <c:strCache>
                <c:ptCount val="1"/>
                <c:pt idx="0">
                  <c:v>25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30882718429796902"/>
                  <c:y val="-0.16747479255847925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Tabelle3!$L$75:$L$76</c:f>
              <c:numCache>
                <c:formatCode>General</c:formatCode>
                <c:ptCount val="2"/>
                <c:pt idx="0">
                  <c:v>-448</c:v>
                </c:pt>
                <c:pt idx="1">
                  <c:v>-448</c:v>
                </c:pt>
              </c:numCache>
            </c:numRef>
          </c:xVal>
          <c:yVal>
            <c:numRef>
              <c:f>Tabelle3!$M$75:$M$76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5-3430-42F0-A1BB-61E91906CCE4}"/>
            </c:ext>
          </c:extLst>
        </c:ser>
        <c:ser>
          <c:idx val="25"/>
          <c:order val="25"/>
          <c:tx>
            <c:strRef>
              <c:f>Tabelle3!$K$77</c:f>
              <c:strCache>
                <c:ptCount val="1"/>
                <c:pt idx="0">
                  <c:v>26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9180521350989207E-2"/>
                  <c:y val="-4.232879372357181E-2"/>
                </c:manualLayout>
              </c:layout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Tabelle3!$L$77:$L$78</c:f>
              <c:numCache>
                <c:formatCode>General</c:formatCode>
                <c:ptCount val="2"/>
                <c:pt idx="0">
                  <c:v>152</c:v>
                </c:pt>
                <c:pt idx="1">
                  <c:v>152</c:v>
                </c:pt>
              </c:numCache>
            </c:numRef>
          </c:xVal>
          <c:yVal>
            <c:numRef>
              <c:f>Tabelle3!$M$77:$M$78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8-3430-42F0-A1BB-61E91906CCE4}"/>
            </c:ext>
          </c:extLst>
        </c:ser>
        <c:ser>
          <c:idx val="26"/>
          <c:order val="26"/>
          <c:tx>
            <c:v>E+Tabelle3!$T$5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Tabelle3!$W$5:$W$6</c:f>
              <c:numCache>
                <c:formatCode>General</c:formatCode>
                <c:ptCount val="2"/>
                <c:pt idx="0">
                  <c:v>0</c:v>
                </c:pt>
                <c:pt idx="1">
                  <c:v>-700</c:v>
                </c:pt>
              </c:numCache>
            </c:numRef>
          </c:xVal>
          <c:yVal>
            <c:numRef>
              <c:f>Tabelle3!$X$5:$X$6</c:f>
              <c:numCache>
                <c:formatCode>General</c:formatCode>
                <c:ptCount val="2"/>
                <c:pt idx="0" formatCode="0.00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9-3430-42F0-A1BB-61E91906CCE4}"/>
            </c:ext>
          </c:extLst>
        </c:ser>
        <c:ser>
          <c:idx val="27"/>
          <c:order val="27"/>
          <c:tx>
            <c:v>EL 2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Tabelle3!$W$7:$W$8</c:f>
              <c:numCache>
                <c:formatCode>General</c:formatCode>
                <c:ptCount val="2"/>
                <c:pt idx="0">
                  <c:v>-700</c:v>
                </c:pt>
                <c:pt idx="1">
                  <c:v>-700</c:v>
                </c:pt>
              </c:numCache>
            </c:numRef>
          </c:xVal>
          <c:yVal>
            <c:numRef>
              <c:f>Tabelle3!$X$7:$X$8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A-3430-42F0-A1BB-61E91906CCE4}"/>
            </c:ext>
          </c:extLst>
        </c:ser>
        <c:ser>
          <c:idx val="28"/>
          <c:order val="28"/>
          <c:tx>
            <c:v>EL+Tabelle3!$S$9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Tabelle3!$W$9:$W$10</c:f>
              <c:numCache>
                <c:formatCode>General</c:formatCode>
                <c:ptCount val="2"/>
                <c:pt idx="0">
                  <c:v>-700</c:v>
                </c:pt>
                <c:pt idx="1">
                  <c:v>0</c:v>
                </c:pt>
              </c:numCache>
            </c:numRef>
          </c:xVal>
          <c:yVal>
            <c:numRef>
              <c:f>Tabelle3!$X$9:$X$10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B-3430-42F0-A1BB-61E91906CCE4}"/>
            </c:ext>
          </c:extLst>
        </c:ser>
        <c:ser>
          <c:idx val="29"/>
          <c:order val="29"/>
          <c:tx>
            <c:v>EL+Tabelle3!$S$11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Tabelle3!$W$11:$W$12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Tabelle3!$X$11:$X$12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C-3430-42F0-A1BB-61E91906CCE4}"/>
            </c:ext>
          </c:extLst>
        </c:ser>
        <c:ser>
          <c:idx val="30"/>
          <c:order val="30"/>
          <c:tx>
            <c:v>EL+Tabelle3!$S$13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Tabelle3!$W$13:$W$14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Tabelle3!$X$13:$X$14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D-3430-42F0-A1BB-61E91906CCE4}"/>
            </c:ext>
          </c:extLst>
        </c:ser>
        <c:ser>
          <c:idx val="31"/>
          <c:order val="31"/>
          <c:tx>
            <c:v>EL+Tabelle3!$S$15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Tabelle3!$W$15:$W$16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Tabelle3!$X$15:$X$16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E-3430-42F0-A1BB-61E91906CCE4}"/>
            </c:ext>
          </c:extLst>
        </c:ser>
        <c:ser>
          <c:idx val="32"/>
          <c:order val="32"/>
          <c:tx>
            <c:v>EL+Tabelle3!$S$17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Tabelle3!$W$17:$W$18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Tabelle3!$X$17:$X$18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F-3430-42F0-A1BB-61E91906CCE4}"/>
            </c:ext>
          </c:extLst>
        </c:ser>
        <c:ser>
          <c:idx val="33"/>
          <c:order val="33"/>
          <c:tx>
            <c:v>EL+Tabelle3!$S$19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Tabelle3!$W$19:$W$20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Tabelle3!$X$19:$X$20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0-3430-42F0-A1BB-61E91906CCE4}"/>
            </c:ext>
          </c:extLst>
        </c:ser>
        <c:ser>
          <c:idx val="34"/>
          <c:order val="34"/>
          <c:tx>
            <c:v>EL+Tabelle3!$S$21</c:v>
          </c:tx>
          <c:spPr>
            <a:ln w="9525" cap="rnd">
              <a:solidFill>
                <a:schemeClr val="accent5">
                  <a:lumMod val="50000"/>
                </a:schemeClr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Tabelle3!$W$21:$W$22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Tabelle3!$X$21:$X$22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1-3430-42F0-A1BB-61E91906CCE4}"/>
            </c:ext>
          </c:extLst>
        </c:ser>
        <c:ser>
          <c:idx val="35"/>
          <c:order val="35"/>
          <c:tx>
            <c:v>EL+Tabelle3!$S$23</c:v>
          </c:tx>
          <c:spPr>
            <a:ln w="9525" cap="rnd">
              <a:solidFill>
                <a:schemeClr val="accent6">
                  <a:lumMod val="50000"/>
                </a:schemeClr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Tabelle3!$W$23:$W$24</c:f>
              <c:numCache>
                <c:formatCode>General</c:formatCode>
                <c:ptCount val="2"/>
                <c:pt idx="0">
                  <c:v>0</c:v>
                </c:pt>
                <c:pt idx="1">
                  <c:v>-830</c:v>
                </c:pt>
              </c:numCache>
            </c:numRef>
          </c:xVal>
          <c:yVal>
            <c:numRef>
              <c:f>Tabelle3!$X$23:$X$24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2-3430-42F0-A1BB-61E91906CCE4}"/>
            </c:ext>
          </c:extLst>
        </c:ser>
        <c:ser>
          <c:idx val="36"/>
          <c:order val="36"/>
          <c:tx>
            <c:v>DL+Tabelle3!$Y$5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Tabelle3!$AC$5:$AC$6</c:f>
              <c:numCache>
                <c:formatCode>General</c:formatCode>
                <c:ptCount val="2"/>
                <c:pt idx="0">
                  <c:v>180</c:v>
                </c:pt>
                <c:pt idx="1">
                  <c:v>628</c:v>
                </c:pt>
              </c:numCache>
            </c:numRef>
          </c:xVal>
          <c:yVal>
            <c:numRef>
              <c:f>Tabelle3!$AD$5:$AD$6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3-3430-42F0-A1BB-61E91906CCE4}"/>
            </c:ext>
          </c:extLst>
        </c:ser>
        <c:ser>
          <c:idx val="37"/>
          <c:order val="37"/>
          <c:tx>
            <c:strRef>
              <c:f>Tabelle3!$AB$7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Tabelle3!$AC$7:$AC$8</c:f>
              <c:numCache>
                <c:formatCode>General</c:formatCode>
                <c:ptCount val="2"/>
                <c:pt idx="0">
                  <c:v>180</c:v>
                </c:pt>
                <c:pt idx="1">
                  <c:v>628</c:v>
                </c:pt>
              </c:numCache>
            </c:numRef>
          </c:xVal>
          <c:yVal>
            <c:numRef>
              <c:f>Tabelle3!$AD$7:$AD$8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4-3430-42F0-A1BB-61E91906CCE4}"/>
            </c:ext>
          </c:extLst>
        </c:ser>
        <c:ser>
          <c:idx val="38"/>
          <c:order val="38"/>
          <c:tx>
            <c:v>DL+Tabelle3!$Y$9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Tabelle3!$AC$9:$AC$10</c:f>
              <c:numCache>
                <c:formatCode>General</c:formatCode>
                <c:ptCount val="2"/>
                <c:pt idx="0">
                  <c:v>628</c:v>
                </c:pt>
                <c:pt idx="1">
                  <c:v>628</c:v>
                </c:pt>
              </c:numCache>
            </c:numRef>
          </c:xVal>
          <c:yVal>
            <c:numRef>
              <c:f>Tabelle3!$AD$9:$AD$10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5-3430-42F0-A1BB-61E91906CCE4}"/>
            </c:ext>
          </c:extLst>
        </c:ser>
        <c:ser>
          <c:idx val="39"/>
          <c:order val="39"/>
          <c:tx>
            <c:strRef>
              <c:f>Tabelle3!$AB$11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Tabelle3!$AC$11:$AC$12</c:f>
              <c:numCache>
                <c:formatCode>General</c:formatCode>
                <c:ptCount val="2"/>
                <c:pt idx="0">
                  <c:v>180</c:v>
                </c:pt>
                <c:pt idx="1">
                  <c:v>180</c:v>
                </c:pt>
              </c:numCache>
            </c:numRef>
          </c:xVal>
          <c:yVal>
            <c:numRef>
              <c:f>Tabelle3!$AD$11:$AD$12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6-3430-42F0-A1BB-61E91906CCE4}"/>
            </c:ext>
          </c:extLst>
        </c:ser>
        <c:ser>
          <c:idx val="40"/>
          <c:order val="40"/>
          <c:tx>
            <c:v>DL+Tabelle3!$Y$13</c:v>
          </c:tx>
          <c:spPr>
            <a:ln w="9525" cap="rnd">
              <a:solidFill>
                <a:schemeClr val="tx1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Tabelle3!$AC$13:$AC$14</c:f>
              <c:numCache>
                <c:formatCode>General</c:formatCode>
                <c:ptCount val="2"/>
                <c:pt idx="0">
                  <c:v>778</c:v>
                </c:pt>
                <c:pt idx="1">
                  <c:v>30</c:v>
                </c:pt>
              </c:numCache>
            </c:numRef>
          </c:xVal>
          <c:yVal>
            <c:numRef>
              <c:f>Tabelle3!$AD$13:$AD$14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7-3430-42F0-A1BB-61E91906CCE4}"/>
            </c:ext>
          </c:extLst>
        </c:ser>
        <c:ser>
          <c:idx val="41"/>
          <c:order val="41"/>
          <c:tx>
            <c:strRef>
              <c:f>Tabelle3!$Z$18</c:f>
              <c:strCache>
                <c:ptCount val="1"/>
                <c:pt idx="0">
                  <c:v>#WERT!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854593602485935E-2"/>
                  <c:y val="1.477711086057437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8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12700"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CH" sz="900" b="0" i="0" u="none" strike="noStrike" kern="1200" baseline="0">
                    <a:ln w="6350">
                      <a:solidFill>
                        <a:schemeClr val="accent5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Tabelle3!$AC$18:$AC$19</c:f>
              <c:numCache>
                <c:formatCode>General</c:formatCode>
                <c:ptCount val="2"/>
                <c:pt idx="0">
                  <c:v>-1000</c:v>
                </c:pt>
                <c:pt idx="1">
                  <c:v>650</c:v>
                </c:pt>
              </c:numCache>
            </c:numRef>
          </c:xVal>
          <c:yVal>
            <c:numRef>
              <c:f>Tabelle3!$AD$18:$AD$19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A-3430-42F0-A1BB-61E91906CCE4}"/>
            </c:ext>
          </c:extLst>
        </c:ser>
        <c:ser>
          <c:idx val="42"/>
          <c:order val="42"/>
          <c:tx>
            <c:strRef>
              <c:f>Tabelle3!$Z$20</c:f>
              <c:strCache>
                <c:ptCount val="1"/>
                <c:pt idx="0">
                  <c:v>#WERT!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840215178831088E-2"/>
                  <c:y val="1.542815412114506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C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 w="6350">
                      <a:solidFill>
                        <a:schemeClr val="accent5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Tabelle3!$AC$20:$AC$21</c:f>
              <c:numCache>
                <c:formatCode>General</c:formatCode>
                <c:ptCount val="2"/>
                <c:pt idx="0">
                  <c:v>-1000</c:v>
                </c:pt>
                <c:pt idx="1">
                  <c:v>650</c:v>
                </c:pt>
              </c:numCache>
            </c:numRef>
          </c:xVal>
          <c:yVal>
            <c:numRef>
              <c:f>Tabelle3!$AD$20:$AD$21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D-3430-42F0-A1BB-61E91906CCE4}"/>
            </c:ext>
          </c:extLst>
        </c:ser>
        <c:ser>
          <c:idx val="43"/>
          <c:order val="43"/>
          <c:tx>
            <c:strRef>
              <c:f>Tabelle3!$Z$16</c:f>
              <c:strCache>
                <c:ptCount val="1"/>
                <c:pt idx="0">
                  <c:v>H SU 170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6626232092592548E-2"/>
                  <c:y val="1.388387332373049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E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de-CH" sz="900" b="0" i="0" u="none" strike="noStrike" kern="1200" baseline="0">
                    <a:ln w="6350">
                      <a:solidFill>
                        <a:schemeClr val="accent5"/>
                      </a:solidFill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Tabelle3!$AC$16:$AC$17</c:f>
              <c:numCache>
                <c:formatCode>General</c:formatCode>
                <c:ptCount val="2"/>
                <c:pt idx="0">
                  <c:v>-1000</c:v>
                </c:pt>
                <c:pt idx="1">
                  <c:v>650</c:v>
                </c:pt>
              </c:numCache>
            </c:numRef>
          </c:xVal>
          <c:yVal>
            <c:numRef>
              <c:f>Tabelle3!$AD$16:$AD$17</c:f>
              <c:numCache>
                <c:formatCode>General</c:formatCode>
                <c:ptCount val="2"/>
                <c:pt idx="0">
                  <c:v>170</c:v>
                </c:pt>
                <c:pt idx="1">
                  <c:v>170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0-3430-42F0-A1BB-61E91906CCE4}"/>
            </c:ext>
          </c:extLst>
        </c:ser>
        <c:ser>
          <c:idx val="44"/>
          <c:order val="44"/>
          <c:tx>
            <c:strRef>
              <c:f>Tabelle3!$K$79</c:f>
              <c:strCache>
                <c:ptCount val="1"/>
                <c:pt idx="0">
                  <c:v>27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Tabelle3!$L$79:$L$80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Tabelle3!$M$79:$M$80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1-3430-42F0-A1BB-61E91906CCE4}"/>
            </c:ext>
          </c:extLst>
        </c:ser>
        <c:ser>
          <c:idx val="45"/>
          <c:order val="45"/>
          <c:tx>
            <c:strRef>
              <c:f>Tabelle3!$K$81</c:f>
              <c:strCache>
                <c:ptCount val="1"/>
                <c:pt idx="0">
                  <c:v>28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Tabelle3!$L$81:$L$82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Ref>
              <c:f>Tabelle3!$M$81:$M$82</c:f>
              <c:numCache>
                <c:formatCode>General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2-3430-42F0-A1BB-61E91906CCE4}"/>
            </c:ext>
          </c:extLst>
        </c:ser>
        <c:ser>
          <c:idx val="46"/>
          <c:order val="46"/>
          <c:tx>
            <c:strRef>
              <c:f>Tabelle3!$AI$4</c:f>
              <c:strCache>
                <c:ptCount val="1"/>
              </c:strCache>
            </c:strRef>
          </c:tx>
          <c:spPr>
            <a:ln w="19050" cap="rnd" cmpd="sng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3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4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Tabelle3!$AN$4:$AN$5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Tabelle3!$AO$4:$AO$5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5-3430-42F0-A1BB-61E91906CCE4}"/>
            </c:ext>
          </c:extLst>
        </c:ser>
        <c:ser>
          <c:idx val="47"/>
          <c:order val="47"/>
          <c:tx>
            <c:strRef>
              <c:f>Tabelle3!$AI$6</c:f>
              <c:strCache>
                <c:ptCount val="1"/>
              </c:strCache>
            </c:strRef>
          </c:tx>
          <c:spPr>
            <a:ln w="19050" cap="rnd">
              <a:solidFill>
                <a:schemeClr val="accent6">
                  <a:lumMod val="70000"/>
                </a:schemeClr>
              </a:solidFill>
              <a:prstDash val="lgDashDot"/>
              <a:round/>
            </a:ln>
            <a:effectLst/>
          </c:spPr>
          <c:marker>
            <c:symbol val="none"/>
          </c:marker>
          <c:dPt>
            <c:idx val="1"/>
            <c:bubble3D val="0"/>
            <c:spPr>
              <a:ln w="19050" cap="rnd">
                <a:solidFill>
                  <a:schemeClr val="accent5"/>
                </a:solidFill>
                <a:prstDash val="lgDashDot"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3430-42F0-A1BB-61E91906CCE4}"/>
              </c:ext>
            </c:extLst>
          </c:dPt>
          <c:dLbls>
            <c:dLbl>
              <c:idx val="0"/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8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7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Tabelle3!$AN$6:$AN$7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Tabelle3!$AO$6:$AO$7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9-3430-42F0-A1BB-61E91906CCE4}"/>
            </c:ext>
          </c:extLst>
        </c:ser>
        <c:ser>
          <c:idx val="48"/>
          <c:order val="48"/>
          <c:tx>
            <c:strRef>
              <c:f>Tabelle3!$AI$8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A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B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Tabelle3!$AN$8:$AN$9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Tabelle3!$AO$8:$AO$9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C-3430-42F0-A1BB-61E91906CCE4}"/>
            </c:ext>
          </c:extLst>
        </c:ser>
        <c:ser>
          <c:idx val="49"/>
          <c:order val="49"/>
          <c:tx>
            <c:strRef>
              <c:f>Tabelle3!$AI$10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D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E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Tabelle3!$AN$10:$AN$11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Tabelle3!$AO$10:$AO$11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F-3430-42F0-A1BB-61E91906CCE4}"/>
            </c:ext>
          </c:extLst>
        </c:ser>
        <c:ser>
          <c:idx val="50"/>
          <c:order val="50"/>
          <c:tx>
            <c:strRef>
              <c:f>Tabelle3!$AI$12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0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1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Tabelle3!$AN$12:$AN$13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Tabelle3!$AO$12:$AO$13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2-3430-42F0-A1BB-61E91906CCE4}"/>
            </c:ext>
          </c:extLst>
        </c:ser>
        <c:ser>
          <c:idx val="51"/>
          <c:order val="51"/>
          <c:tx>
            <c:strRef>
              <c:f>Tabelle3!$AI$14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3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4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Tabelle3!$AN$14:$AN$15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Tabelle3!$AO$14:$AO$15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5-3430-42F0-A1BB-61E91906CCE4}"/>
            </c:ext>
          </c:extLst>
        </c:ser>
        <c:ser>
          <c:idx val="52"/>
          <c:order val="52"/>
          <c:tx>
            <c:strRef>
              <c:f>Tabelle3!$AI$16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6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7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Tabelle3!$AN$16:$AN$17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Tabelle3!$AO$16:$AO$17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8-3430-42F0-A1BB-61E91906CCE4}"/>
            </c:ext>
          </c:extLst>
        </c:ser>
        <c:ser>
          <c:idx val="53"/>
          <c:order val="53"/>
          <c:tx>
            <c:strRef>
              <c:f>Tabelle3!$AI$18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9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A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Tabelle3!$AN$18:$AN$19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Tabelle3!$AO$18:$AO$19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B-3430-42F0-A1BB-61E91906CCE4}"/>
            </c:ext>
          </c:extLst>
        </c:ser>
        <c:ser>
          <c:idx val="54"/>
          <c:order val="54"/>
          <c:tx>
            <c:strRef>
              <c:f>Tabelle3!$AI$20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C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D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Tabelle3!$AN$20:$AN$21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Tabelle3!$AO$20:$AO$21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E-3430-42F0-A1BB-61E91906CCE4}"/>
            </c:ext>
          </c:extLst>
        </c:ser>
        <c:ser>
          <c:idx val="55"/>
          <c:order val="55"/>
          <c:tx>
            <c:strRef>
              <c:f>Tabelle3!$AI$22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F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0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Tabelle3!$AN$22:$AN$23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Tabelle3!$AO$22:$AO$23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1-3430-42F0-A1BB-61E91906CCE4}"/>
            </c:ext>
          </c:extLst>
        </c:ser>
        <c:ser>
          <c:idx val="56"/>
          <c:order val="56"/>
          <c:tx>
            <c:strRef>
              <c:f>Tabelle3!$AI$24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2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3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Tabelle3!$AN$24:$AN$25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Tabelle3!$AO$24:$AO$25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4-3430-42F0-A1BB-61E91906CCE4}"/>
            </c:ext>
          </c:extLst>
        </c:ser>
        <c:ser>
          <c:idx val="57"/>
          <c:order val="57"/>
          <c:tx>
            <c:strRef>
              <c:f>Tabelle3!$AI$26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5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6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Tabelle3!$AN$26:$AN$27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Tabelle3!$AO$26:$AO$27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7-3430-42F0-A1BB-61E91906CCE4}"/>
            </c:ext>
          </c:extLst>
        </c:ser>
        <c:ser>
          <c:idx val="58"/>
          <c:order val="58"/>
          <c:tx>
            <c:strRef>
              <c:f>Tabelle3!$AI$28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8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9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Tabelle3!$AN$28:$AN$29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Tabelle3!$AO$28:$AO$29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A-3430-42F0-A1BB-61E91906CCE4}"/>
            </c:ext>
          </c:extLst>
        </c:ser>
        <c:ser>
          <c:idx val="59"/>
          <c:order val="59"/>
          <c:tx>
            <c:strRef>
              <c:f>Tabelle3!$AI$30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B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C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Tabelle3!$AN$30:$AN$31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Tabelle3!$AO$30:$AO$31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D-3430-42F0-A1BB-61E91906CCE4}"/>
            </c:ext>
          </c:extLst>
        </c:ser>
        <c:ser>
          <c:idx val="60"/>
          <c:order val="60"/>
          <c:tx>
            <c:strRef>
              <c:f>Tabelle3!$AI$32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E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F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Tabelle3!$AN$32:$AN$33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Tabelle3!$AO$32:$AO$33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0-3430-42F0-A1BB-61E91906CCE4}"/>
            </c:ext>
          </c:extLst>
        </c:ser>
        <c:ser>
          <c:idx val="61"/>
          <c:order val="61"/>
          <c:tx>
            <c:strRef>
              <c:f>Tabelle3!$AI$34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1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2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Tabelle3!$AN$34:$AN$35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Tabelle3!$AO$34:$AO$35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3-3430-42F0-A1BB-61E91906CCE4}"/>
            </c:ext>
          </c:extLst>
        </c:ser>
        <c:ser>
          <c:idx val="62"/>
          <c:order val="62"/>
          <c:tx>
            <c:strRef>
              <c:f>Tabelle3!$AI$36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4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5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Tabelle3!$AN$36:$AN$37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Tabelle3!$AO$36:$AO$37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6-3430-42F0-A1BB-61E91906CCE4}"/>
            </c:ext>
          </c:extLst>
        </c:ser>
        <c:ser>
          <c:idx val="63"/>
          <c:order val="63"/>
          <c:tx>
            <c:strRef>
              <c:f>Tabelle3!$AI$38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7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8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Tabelle3!$AN$38:$AN$39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Tabelle3!$AO$38:$AO$39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9-3430-42F0-A1BB-61E91906CCE4}"/>
            </c:ext>
          </c:extLst>
        </c:ser>
        <c:ser>
          <c:idx val="64"/>
          <c:order val="64"/>
          <c:tx>
            <c:strRef>
              <c:f>Tabelle3!$AI$40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A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B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Tabelle3!$AN$40:$AN$41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Tabelle3!$AO$40:$AO$41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C-3430-42F0-A1BB-61E91906CCE4}"/>
            </c:ext>
          </c:extLst>
        </c:ser>
        <c:ser>
          <c:idx val="65"/>
          <c:order val="65"/>
          <c:tx>
            <c:strRef>
              <c:f>Tabelle3!$AI$42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D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E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Tabelle3!$AN$42:$AN$43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Tabelle3!$AO$42:$AO$43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F-3430-42F0-A1BB-61E91906CCE4}"/>
            </c:ext>
          </c:extLst>
        </c:ser>
        <c:ser>
          <c:idx val="66"/>
          <c:order val="66"/>
          <c:tx>
            <c:strRef>
              <c:f>Tabelle3!$AI$44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0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1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Tabelle3!$AN$44:$AN$45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Tabelle3!$AO$44:$AO$45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2-3430-42F0-A1BB-61E91906CCE4}"/>
            </c:ext>
          </c:extLst>
        </c:ser>
        <c:ser>
          <c:idx val="67"/>
          <c:order val="67"/>
          <c:tx>
            <c:strRef>
              <c:f>Tabelle3!$AI$46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/>
                  </a:pPr>
                  <a:endParaRPr lang="de-DE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3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84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Tabelle3!$AN$46:$AN$47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Tabelle3!$AO$46:$AO$47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5-3430-42F0-A1BB-61E91906CCE4}"/>
            </c:ext>
          </c:extLst>
        </c:ser>
        <c:ser>
          <c:idx val="68"/>
          <c:order val="68"/>
          <c:tx>
            <c:strRef>
              <c:f>Tabelle3!$AI$48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Tabelle3!$AN$48:$AN$49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Tabelle3!$AO$48:$AO$49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6-3430-42F0-A1BB-61E91906CCE4}"/>
            </c:ext>
          </c:extLst>
        </c:ser>
        <c:ser>
          <c:idx val="69"/>
          <c:order val="69"/>
          <c:tx>
            <c:strRef>
              <c:f>Tabelle3!$AI$50</c:f>
              <c:strCache>
                <c:ptCount val="1"/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Tabelle3!$AN$50:$AN$51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Tabelle3!$AO$50:$AO$51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7-3430-42F0-A1BB-61E91906CCE4}"/>
            </c:ext>
          </c:extLst>
        </c:ser>
        <c:ser>
          <c:idx val="70"/>
          <c:order val="70"/>
          <c:tx>
            <c:strRef>
              <c:f>Tabelle3!$AJ$52</c:f>
              <c:strCache>
                <c:ptCount val="1"/>
                <c:pt idx="0">
                  <c:v>Segment 25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Tabelle3!$AN$52:$AN$53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Tabelle3!$AO$52:$AO$53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8-3430-42F0-A1BB-61E91906CCE4}"/>
            </c:ext>
          </c:extLst>
        </c:ser>
        <c:ser>
          <c:idx val="71"/>
          <c:order val="71"/>
          <c:tx>
            <c:strRef>
              <c:f>Tabelle3!$AJ$54</c:f>
              <c:strCache>
                <c:ptCount val="1"/>
                <c:pt idx="0">
                  <c:v>Segment 26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Tabelle3!$AN$54:$AN$55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Tabelle3!$AO$54:$AO$55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9-3430-42F0-A1BB-61E91906CCE4}"/>
            </c:ext>
          </c:extLst>
        </c:ser>
        <c:ser>
          <c:idx val="72"/>
          <c:order val="72"/>
          <c:tx>
            <c:strRef>
              <c:f>Tabelle3!$AJ$56</c:f>
              <c:strCache>
                <c:ptCount val="1"/>
                <c:pt idx="0">
                  <c:v>Segment 27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Tabelle3!$AN$56:$AN$57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Tabelle3!$AO$56:$AO$57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A-3430-42F0-A1BB-61E91906CCE4}"/>
            </c:ext>
          </c:extLst>
        </c:ser>
        <c:ser>
          <c:idx val="73"/>
          <c:order val="73"/>
          <c:tx>
            <c:strRef>
              <c:f>Tabelle3!$AJ$58</c:f>
              <c:strCache>
                <c:ptCount val="1"/>
                <c:pt idx="0">
                  <c:v>Segment 28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Tabelle3!$AN$58:$AN$59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Tabelle3!$AO$58:$AO$59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B-3430-42F0-A1BB-61E91906CCE4}"/>
            </c:ext>
          </c:extLst>
        </c:ser>
        <c:ser>
          <c:idx val="74"/>
          <c:order val="74"/>
          <c:tx>
            <c:strRef>
              <c:f>Tabelle3!$AJ$60</c:f>
              <c:strCache>
                <c:ptCount val="1"/>
                <c:pt idx="0">
                  <c:v>Segment 29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Tabelle3!$AN$60:$AN$61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Tabelle3!$AO$60:$AO$61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C-3430-42F0-A1BB-61E91906CCE4}"/>
            </c:ext>
          </c:extLst>
        </c:ser>
        <c:ser>
          <c:idx val="75"/>
          <c:order val="75"/>
          <c:tx>
            <c:strRef>
              <c:f>Tabelle3!$AJ$62</c:f>
              <c:strCache>
                <c:ptCount val="1"/>
                <c:pt idx="0">
                  <c:v>Segment 30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Tabelle3!$AN$62:$AN$63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Tabelle3!$AO$62:$AO$63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D-3430-42F0-A1BB-61E91906CCE4}"/>
            </c:ext>
          </c:extLst>
        </c:ser>
        <c:ser>
          <c:idx val="76"/>
          <c:order val="76"/>
          <c:tx>
            <c:strRef>
              <c:f>Tabelle3!$AJ$64</c:f>
              <c:strCache>
                <c:ptCount val="1"/>
                <c:pt idx="0">
                  <c:v>Segment 31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Tabelle3!$AN$64:$AN$65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Tabelle3!$AO$64:$AO$65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E-3430-42F0-A1BB-61E91906CCE4}"/>
            </c:ext>
          </c:extLst>
        </c:ser>
        <c:ser>
          <c:idx val="77"/>
          <c:order val="77"/>
          <c:tx>
            <c:strRef>
              <c:f>Tabelle3!$AJ$66</c:f>
              <c:strCache>
                <c:ptCount val="1"/>
                <c:pt idx="0">
                  <c:v>Segment 32</c:v>
                </c:pt>
              </c:strCache>
            </c:strRef>
          </c:tx>
          <c:spPr>
            <a:ln w="19050" cap="rnd" cmpd="dbl">
              <a:solidFill>
                <a:schemeClr val="accent5"/>
              </a:solidFill>
              <a:prstDash val="lgDashDot"/>
              <a:round/>
            </a:ln>
            <a:effectLst/>
          </c:spPr>
          <c:marker>
            <c:symbol val="none"/>
          </c:marker>
          <c:xVal>
            <c:numRef>
              <c:f>Tabelle3!$AN$66:$AN$67</c:f>
              <c:numCache>
                <c:formatCode>General</c:formatCode>
                <c:ptCount val="2"/>
                <c:pt idx="0">
                  <c:v>-1500</c:v>
                </c:pt>
                <c:pt idx="1">
                  <c:v>-1200</c:v>
                </c:pt>
              </c:numCache>
            </c:numRef>
          </c:xVal>
          <c:yVal>
            <c:numRef>
              <c:f>Tabelle3!$AO$66:$AO$67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F-3430-42F0-A1BB-61E91906CCE4}"/>
            </c:ext>
          </c:extLst>
        </c:ser>
        <c:ser>
          <c:idx val="78"/>
          <c:order val="78"/>
          <c:tx>
            <c:strRef>
              <c:f>Tabelle3!$BC$31</c:f>
              <c:strCache>
                <c:ptCount val="1"/>
                <c:pt idx="0">
                  <c:v>Pumpe 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Tabelle3!$BD$31:$BD$32</c:f>
              <c:numCache>
                <c:formatCode>General</c:formatCode>
                <c:ptCount val="2"/>
                <c:pt idx="0">
                  <c:v>-218</c:v>
                </c:pt>
                <c:pt idx="1">
                  <c:v>-78</c:v>
                </c:pt>
              </c:numCache>
            </c:numRef>
          </c:xVal>
          <c:yVal>
            <c:numRef>
              <c:f>Tabelle3!$BE$31:$BE$32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0-3430-42F0-A1BB-61E91906CCE4}"/>
            </c:ext>
          </c:extLst>
        </c:ser>
        <c:ser>
          <c:idx val="79"/>
          <c:order val="79"/>
          <c:tx>
            <c:strRef>
              <c:f>Tabelle3!$BC$33</c:f>
              <c:strCache>
                <c:ptCount val="1"/>
                <c:pt idx="0">
                  <c:v>Pumpe 1a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Tabelle3!$BD$33:$BD$34</c:f>
              <c:numCache>
                <c:formatCode>General</c:formatCode>
                <c:ptCount val="2"/>
                <c:pt idx="0">
                  <c:v>-218</c:v>
                </c:pt>
                <c:pt idx="1">
                  <c:v>-238</c:v>
                </c:pt>
              </c:numCache>
            </c:numRef>
          </c:xVal>
          <c:yVal>
            <c:numRef>
              <c:f>Tabelle3!$BE$33:$BE$34</c:f>
              <c:numCache>
                <c:formatCode>General</c:formatCode>
                <c:ptCount val="2"/>
                <c:pt idx="0">
                  <c:v>0</c:v>
                </c:pt>
                <c:pt idx="1">
                  <c:v>-50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1-3430-42F0-A1BB-61E91906CCE4}"/>
            </c:ext>
          </c:extLst>
        </c:ser>
        <c:ser>
          <c:idx val="80"/>
          <c:order val="80"/>
          <c:tx>
            <c:strRef>
              <c:f>Tabelle3!$BC$35</c:f>
              <c:strCache>
                <c:ptCount val="1"/>
                <c:pt idx="0">
                  <c:v>Pumpe 1b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Tabelle3!$BD$35:$BD$36</c:f>
              <c:numCache>
                <c:formatCode>General</c:formatCode>
                <c:ptCount val="2"/>
                <c:pt idx="0">
                  <c:v>-78</c:v>
                </c:pt>
                <c:pt idx="1">
                  <c:v>-58</c:v>
                </c:pt>
              </c:numCache>
            </c:numRef>
          </c:xVal>
          <c:yVal>
            <c:numRef>
              <c:f>Tabelle3!$BE$35:$BE$36</c:f>
              <c:numCache>
                <c:formatCode>General</c:formatCode>
                <c:ptCount val="2"/>
                <c:pt idx="0">
                  <c:v>0</c:v>
                </c:pt>
                <c:pt idx="1">
                  <c:v>-50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2-3430-42F0-A1BB-61E91906CCE4}"/>
            </c:ext>
          </c:extLst>
        </c:ser>
        <c:ser>
          <c:idx val="81"/>
          <c:order val="81"/>
          <c:tx>
            <c:strRef>
              <c:f>Tabelle3!$BC$39</c:f>
              <c:strCache>
                <c:ptCount val="1"/>
                <c:pt idx="0">
                  <c:v>Pumpe 2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Tabelle3!$BD$39:$BD$40</c:f>
            </c:numRef>
          </c:xVal>
          <c:yVal>
            <c:numRef>
              <c:f>Tabelle3!$BE$39:$BE$40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3-3430-42F0-A1BB-61E91906CCE4}"/>
            </c:ext>
          </c:extLst>
        </c:ser>
        <c:ser>
          <c:idx val="82"/>
          <c:order val="82"/>
          <c:tx>
            <c:strRef>
              <c:f>Tabelle3!$BC$41</c:f>
              <c:strCache>
                <c:ptCount val="1"/>
                <c:pt idx="0">
                  <c:v>Pumpe 2a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Tabelle3!$BD$41:$BD$42</c:f>
            </c:numRef>
          </c:xVal>
          <c:yVal>
            <c:numRef>
              <c:f>Tabelle3!$BE$41:$BE$42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4-3430-42F0-A1BB-61E91906CCE4}"/>
            </c:ext>
          </c:extLst>
        </c:ser>
        <c:ser>
          <c:idx val="83"/>
          <c:order val="83"/>
          <c:tx>
            <c:strRef>
              <c:f>Tabelle3!$BC$43</c:f>
              <c:strCache>
                <c:ptCount val="1"/>
                <c:pt idx="0">
                  <c:v>Pumpe 2b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Tabelle3!$BD$43:$BD$44</c:f>
            </c:numRef>
          </c:xVal>
          <c:yVal>
            <c:numRef>
              <c:f>Tabelle3!$BE$43:$BE$44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5-3430-42F0-A1BB-61E91906CCE4}"/>
            </c:ext>
          </c:extLst>
        </c:ser>
        <c:ser>
          <c:idx val="84"/>
          <c:order val="84"/>
          <c:tx>
            <c:strRef>
              <c:f>Tabelle3!$BG$6</c:f>
              <c:strCache>
                <c:ptCount val="1"/>
                <c:pt idx="0">
                  <c:v>ID=1000 mm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  <a:headEnd type="triangle" w="med" len="lg"/>
              <a:tailEnd type="triangle" w="med" len="lg"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6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1855402474829886"/>
                  <c:y val="-2.208458802968960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7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Tabelle3!$BG$4:$BG$5</c:f>
              <c:numCache>
                <c:formatCode>General</c:formatCode>
                <c:ptCount val="2"/>
                <c:pt idx="0">
                  <c:v>-500</c:v>
                </c:pt>
                <c:pt idx="1">
                  <c:v>500</c:v>
                </c:pt>
              </c:numCache>
            </c:numRef>
          </c:xVal>
          <c:yVal>
            <c:numRef>
              <c:f>Tabelle3!$BH$4:$BH$5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8-3430-42F0-A1BB-61E91906CCE4}"/>
            </c:ext>
          </c:extLst>
        </c:ser>
        <c:ser>
          <c:idx val="85"/>
          <c:order val="85"/>
          <c:tx>
            <c:strRef>
              <c:f>Tabelle3!$BJ$4</c:f>
              <c:strCache>
                <c:ptCount val="1"/>
                <c:pt idx="0">
                  <c:v>Pozzo BS 0 M.ü.M</c:v>
                </c:pt>
              </c:strCache>
            </c:strRef>
          </c:tx>
          <c:spPr>
            <a:ln w="60325" cap="rnd">
              <a:solidFill>
                <a:schemeClr val="tx1"/>
              </a:solidFill>
              <a:round/>
              <a:headEnd type="triangle"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9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453680900659295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A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Tabelle3!$BK$4:$BK$5</c:f>
              <c:numCache>
                <c:formatCode>General</c:formatCode>
                <c:ptCount val="2"/>
                <c:pt idx="0">
                  <c:v>925</c:v>
                </c:pt>
                <c:pt idx="1">
                  <c:v>925</c:v>
                </c:pt>
              </c:numCache>
            </c:numRef>
          </c:xVal>
          <c:yVal>
            <c:numRef>
              <c:f>Tabelle3!$BL$4:$BL$5</c:f>
              <c:numCache>
                <c:formatCode>General</c:formatCode>
                <c:ptCount val="2"/>
                <c:pt idx="0" formatCode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B-3430-42F0-A1BB-61E91906CCE4}"/>
            </c:ext>
          </c:extLst>
        </c:ser>
        <c:ser>
          <c:idx val="86"/>
          <c:order val="86"/>
          <c:tx>
            <c:strRef>
              <c:f>Tabelle3!$BJ$7</c:f>
              <c:strCache>
                <c:ptCount val="1"/>
                <c:pt idx="0">
                  <c:v>#WERT!</c:v>
                </c:pt>
              </c:strCache>
            </c:strRef>
          </c:tx>
          <c:spPr>
            <a:ln w="60325" cap="rnd">
              <a:solidFill>
                <a:schemeClr val="tx1"/>
              </a:solidFill>
              <a:round/>
              <a:headEnd type="triangle"/>
            </a:ln>
            <a:effectLst/>
          </c:spPr>
          <c:marker>
            <c:symbol val="none"/>
          </c:marker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C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Tabelle3!$BK$7:$BK$8</c:f>
              <c:numCache>
                <c:formatCode>General</c:formatCode>
                <c:ptCount val="2"/>
                <c:pt idx="0">
                  <c:v>925</c:v>
                </c:pt>
                <c:pt idx="1">
                  <c:v>925</c:v>
                </c:pt>
              </c:numCache>
            </c:numRef>
          </c:xVal>
          <c:yVal>
            <c:numRef>
              <c:f>Tabelle3!$BL$7:$BL$8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D-3430-42F0-A1BB-61E91906CCE4}"/>
            </c:ext>
          </c:extLst>
        </c:ser>
        <c:ser>
          <c:idx val="87"/>
          <c:order val="87"/>
          <c:tx>
            <c:strRef>
              <c:f>Tabelle3!$BJ$10</c:f>
              <c:strCache>
                <c:ptCount val="1"/>
                <c:pt idx="0">
                  <c:v>#WERT!</c:v>
                </c:pt>
              </c:strCache>
            </c:strRef>
          </c:tx>
          <c:spPr>
            <a:ln w="57150" cap="rnd">
              <a:solidFill>
                <a:schemeClr val="tx1"/>
              </a:solidFill>
              <a:round/>
              <a:headEnd type="triangle"/>
              <a:tailEnd type="none"/>
            </a:ln>
            <a:effectLst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E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2951303377473018E-3"/>
                  <c:y val="-2.208458802968956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9F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Tabelle3!$BK$10:$BK$11</c:f>
              <c:numCache>
                <c:formatCode>General</c:formatCode>
                <c:ptCount val="2"/>
                <c:pt idx="0">
                  <c:v>925</c:v>
                </c:pt>
                <c:pt idx="1">
                  <c:v>925</c:v>
                </c:pt>
              </c:numCache>
            </c:numRef>
          </c:xVal>
          <c:yVal>
            <c:numRef>
              <c:f>Tabelle3!$BL$10:$BL$11</c:f>
              <c:numCache>
                <c:formatCode>General</c:formatCode>
                <c:ptCount val="2"/>
                <c:pt idx="0">
                  <c:v>0</c:v>
                </c:pt>
                <c:pt idx="1">
                  <c:v>50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A0-3430-42F0-A1BB-61E91906CCE4}"/>
            </c:ext>
          </c:extLst>
        </c:ser>
        <c:ser>
          <c:idx val="88"/>
          <c:order val="88"/>
          <c:tx>
            <c:strRef>
              <c:f>Tabelle3!$BJ$13</c:f>
              <c:strCache>
                <c:ptCount val="1"/>
                <c:pt idx="0">
                  <c:v>Grundlinie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Tabelle3!$BK$13:$BK$14</c:f>
              <c:numCache>
                <c:formatCode>General</c:formatCode>
                <c:ptCount val="2"/>
                <c:pt idx="0">
                  <c:v>-1500</c:v>
                </c:pt>
                <c:pt idx="1">
                  <c:v>1500</c:v>
                </c:pt>
              </c:numCache>
            </c:numRef>
          </c:xVal>
          <c:yVal>
            <c:numRef>
              <c:f>Tabelle3!$BL$13:$BL$14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A1-3430-42F0-A1BB-61E91906CCE4}"/>
            </c:ext>
          </c:extLst>
        </c:ser>
        <c:ser>
          <c:idx val="89"/>
          <c:order val="89"/>
          <c:tx>
            <c:strRef>
              <c:f>Tabelle3!$BC$69</c:f>
              <c:strCache>
                <c:ptCount val="1"/>
                <c:pt idx="0">
                  <c:v>#WERT!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2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Tabelle3!$BD$69:$BD$70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Tabelle3!$BE$69:$BE$70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A3-3430-42F0-A1BB-61E91906CCE4}"/>
            </c:ext>
          </c:extLst>
        </c:ser>
        <c:ser>
          <c:idx val="90"/>
          <c:order val="90"/>
          <c:tx>
            <c:strRef>
              <c:f>Tabelle3!$BD$74</c:f>
              <c:strCache>
                <c:ptCount val="1"/>
              </c:strCache>
            </c:strRef>
          </c:tx>
          <c:spPr>
            <a:ln w="57150" cmpd="sng">
              <a:solidFill>
                <a:srgbClr val="800000"/>
              </a:solidFill>
              <a:headEnd type="triangle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4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065904694251964E-2"/>
                  <c:y val="1.472305868645971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5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solidFill>
                  <a:schemeClr val="bg1"/>
                </a:solidFill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Ref>
              <c:f>Tabelle3!$BD$76:$BD$77</c:f>
            </c:numRef>
          </c:xVal>
          <c:yVal>
            <c:numRef>
              <c:f>Tabelle3!$BE$76:$BE$77</c:f>
              <c:numCache>
                <c:formatCode>General</c:formatCode>
                <c:ptCount val="2"/>
                <c:pt idx="0">
                  <c:v>-1000</c:v>
                </c:pt>
                <c:pt idx="1">
                  <c:v>-1000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A7-3430-42F0-A1BB-61E91906CCE4}"/>
            </c:ext>
          </c:extLst>
        </c:ser>
        <c:ser>
          <c:idx val="91"/>
          <c:order val="91"/>
          <c:tx>
            <c:strRef>
              <c:f>Tabelle3!$BJ$17</c:f>
              <c:strCache>
                <c:ptCount val="1"/>
                <c:pt idx="0">
                  <c:v>PDL                     S=  M.ü.M.</c:v>
                </c:pt>
              </c:strCache>
            </c:strRef>
          </c:tx>
          <c:spPr>
            <a:ln w="38100">
              <a:solidFill>
                <a:schemeClr val="tx1"/>
              </a:solidFill>
              <a:headEnd type="triangle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4877765412779288E-2"/>
                  <c:y val="-3.6807500964762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>
                      <a:latin typeface="Arial Narrow" panose="020B0606020202030204" pitchFamily="34" charset="0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8-3430-42F0-A1BB-61E91906CCE4}"/>
                </c:ext>
                <c:ext xmlns:c15="http://schemas.microsoft.com/office/drawing/2012/chart" uri="{CE6537A1-D6FC-4f65-9D91-7224C49458BB}">
                  <c15:layout>
                    <c:manualLayout>
                      <c:w val="0.10421845234475087"/>
                      <c:h val="4.8448139124913414E-2"/>
                    </c:manualLayout>
                  </c15:layout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9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Tabelle3!$BK$17:$BK$18</c:f>
              <c:numCache>
                <c:formatCode>General</c:formatCode>
                <c:ptCount val="2"/>
                <c:pt idx="0">
                  <c:v>728</c:v>
                </c:pt>
                <c:pt idx="1">
                  <c:v>728</c:v>
                </c:pt>
              </c:numCache>
            </c:numRef>
          </c:xVal>
          <c:yVal>
            <c:numRef>
              <c:f>Tabelle3!$BL$17:$BL$18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AA-3430-42F0-A1BB-61E91906CCE4}"/>
            </c:ext>
          </c:extLst>
        </c:ser>
        <c:ser>
          <c:idx val="92"/>
          <c:order val="92"/>
          <c:tx>
            <c:strRef>
              <c:f>Tabelle3!$Z$23</c:f>
              <c:strCache>
                <c:ptCount val="1"/>
                <c:pt idx="0">
                  <c:v>#WERT!</c:v>
                </c:pt>
              </c:strCache>
            </c:strRef>
          </c:tx>
          <c:spPr>
            <a:ln w="34925">
              <a:solidFill>
                <a:srgbClr val="D6A300"/>
              </a:solidFill>
              <a:prstDash val="solid"/>
              <a:tailEnd type="oval"/>
            </a:ln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rgbClr val="D6A300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B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C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Tabelle3!$AC$23:$AC$24</c:f>
              <c:numCache>
                <c:formatCode>General</c:formatCode>
                <c:ptCount val="2"/>
                <c:pt idx="0">
                  <c:v>-288</c:v>
                </c:pt>
                <c:pt idx="1">
                  <c:v>-248</c:v>
                </c:pt>
              </c:numCache>
            </c:numRef>
          </c:xVal>
          <c:yVal>
            <c:numRef>
              <c:f>Tabelle3!$AD$23:$AD$24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AD-3430-42F0-A1BB-61E91906CCE4}"/>
            </c:ext>
          </c:extLst>
        </c:ser>
        <c:ser>
          <c:idx val="93"/>
          <c:order val="93"/>
          <c:tx>
            <c:strRef>
              <c:f>Tabelle3!$Z$26</c:f>
              <c:strCache>
                <c:ptCount val="1"/>
              </c:strCache>
            </c:strRef>
          </c:tx>
          <c:spPr>
            <a:ln w="34925">
              <a:solidFill>
                <a:srgbClr val="D6A300"/>
              </a:solidFill>
              <a:prstDash val="sysDash"/>
              <a:headEnd type="none"/>
              <a:tailEnd type="oval"/>
            </a:ln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>
                      <a:solidFill>
                        <a:srgbClr val="D6A300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AF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D6A300"/>
                    </a:solidFill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Tabelle3!$AC$26:$AC$27</c:f>
            </c:numRef>
          </c:xVal>
          <c:yVal>
            <c:numRef>
              <c:f>Tabelle3!$AD$26:$AD$27</c:f>
              <c:numCache>
                <c:formatCode>General</c:formatCode>
                <c:ptCount val="2"/>
                <c:pt idx="0">
                  <c:v>-1000</c:v>
                </c:pt>
                <c:pt idx="1">
                  <c:v>-1000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B0-3430-42F0-A1BB-61E91906CCE4}"/>
            </c:ext>
          </c:extLst>
        </c:ser>
        <c:ser>
          <c:idx val="94"/>
          <c:order val="94"/>
          <c:tx>
            <c:strRef>
              <c:f>Tabelle3!$Z$29</c:f>
              <c:strCache>
                <c:ptCount val="1"/>
                <c:pt idx="0">
                  <c:v>birne auf VN</c:v>
                </c:pt>
              </c:strCache>
            </c:strRef>
          </c:tx>
          <c:spPr>
            <a:ln w="34925">
              <a:solidFill>
                <a:srgbClr val="D6A300"/>
              </a:solidFill>
              <a:tailEnd type="oval"/>
            </a:ln>
          </c:spPr>
          <c:marker>
            <c:symbol val="none"/>
          </c:marker>
          <c:xVal>
            <c:numRef>
              <c:f>Tabelle3!$AC$29:$AC$30</c:f>
              <c:numCache>
                <c:formatCode>General</c:formatCode>
                <c:ptCount val="2"/>
                <c:pt idx="0">
                  <c:v>-288</c:v>
                </c:pt>
                <c:pt idx="1">
                  <c:v>-248</c:v>
                </c:pt>
              </c:numCache>
            </c:numRef>
          </c:xVal>
          <c:yVal>
            <c:numRef>
              <c:f>Tabelle3!$AD$29:$AD$30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B1-3430-42F0-A1BB-61E91906CCE4}"/>
            </c:ext>
          </c:extLst>
        </c:ser>
        <c:ser>
          <c:idx val="95"/>
          <c:order val="95"/>
          <c:tx>
            <c:strRef>
              <c:f>Tabelle3!$Z$31</c:f>
              <c:strCache>
                <c:ptCount val="1"/>
                <c:pt idx="0">
                  <c:v>Birne auf SU</c:v>
                </c:pt>
              </c:strCache>
            </c:strRef>
          </c:tx>
          <c:spPr>
            <a:ln w="34925">
              <a:solidFill>
                <a:srgbClr val="D6A300"/>
              </a:solidFill>
              <a:tailEnd type="oval"/>
            </a:ln>
          </c:spPr>
          <c:marker>
            <c:symbol val="none"/>
          </c:marker>
          <c:xVal>
            <c:numRef>
              <c:f>Tabelle3!$AC$31:$AC$32</c:f>
              <c:numCache>
                <c:formatCode>General</c:formatCode>
                <c:ptCount val="2"/>
                <c:pt idx="0">
                  <c:v>-188</c:v>
                </c:pt>
                <c:pt idx="1">
                  <c:v>-148</c:v>
                </c:pt>
              </c:numCache>
            </c:numRef>
          </c:xVal>
          <c:yVal>
            <c:numRef>
              <c:f>Tabelle3!$AD$31:$AD$32</c:f>
              <c:numCache>
                <c:formatCode>General</c:formatCode>
                <c:ptCount val="2"/>
                <c:pt idx="0">
                  <c:v>280</c:v>
                </c:pt>
                <c:pt idx="1">
                  <c:v>170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B2-3430-42F0-A1BB-61E91906CCE4}"/>
            </c:ext>
          </c:extLst>
        </c:ser>
        <c:ser>
          <c:idx val="96"/>
          <c:order val="96"/>
          <c:tx>
            <c:strRef>
              <c:f>Tabelle3!$BG$39</c:f>
              <c:strCache>
                <c:ptCount val="1"/>
                <c:pt idx="0">
                  <c:v>#WERT!</c:v>
                </c:pt>
              </c:strCache>
            </c:strRef>
          </c:tx>
          <c:spPr>
            <a:ln w="15875">
              <a:solidFill>
                <a:srgbClr val="00B05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B3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446111208405555E-2"/>
                  <c:y val="-3.680764671614928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B4-3430-42F0-A1BB-61E91906CCE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Tabelle3!$BG$45:$BG$46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Tabelle3!$BH$45:$BH$46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B5-3430-42F0-A1BB-61E91906CCE4}"/>
            </c:ext>
          </c:extLst>
        </c:ser>
        <c:ser>
          <c:idx val="99"/>
          <c:order val="97"/>
          <c:tx>
            <c:strRef>
              <c:f>Linkauswahl!$L$40</c:f>
              <c:strCache>
                <c:ptCount val="1"/>
              </c:strCache>
            </c:strRef>
          </c:tx>
          <c:spPr>
            <a:ln w="25400">
              <a:solidFill>
                <a:srgbClr val="FF0000"/>
              </a:solidFill>
              <a:prstDash val="sysDot"/>
            </a:ln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B6-3430-42F0-A1BB-61E91906CCE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251147674648952"/>
                  <c:y val="2.30047791975933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B7-3430-42F0-A1BB-61E91906CCE4}"/>
                </c:ext>
                <c:ext xmlns:c15="http://schemas.microsoft.com/office/drawing/2012/chart" uri="{CE6537A1-D6FC-4f65-9D91-7224C49458BB}">
                  <c15:layout>
                    <c:manualLayout>
                      <c:w val="0.35060324095473511"/>
                      <c:h val="3.7562203473830345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xVal>
            <c:numRef>
              <c:f>Linkauswahl!$L$42:$L$43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Linkauswahl!$M$42:$M$43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B8-3430-42F0-A1BB-61E91906CCE4}"/>
            </c:ext>
          </c:extLst>
        </c:ser>
        <c:ser>
          <c:idx val="97"/>
          <c:order val="98"/>
          <c:tx>
            <c:strRef>
              <c:f>Tabelle3!$K$83</c:f>
              <c:strCache>
                <c:ptCount val="1"/>
                <c:pt idx="0">
                  <c:v>29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Tabelle3!$L$83:$L$84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xVal>
          <c:yVal>
            <c:numRef>
              <c:f>Tabelle3!$M$83:$M$84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B9-3430-42F0-A1BB-61E91906CCE4}"/>
            </c:ext>
          </c:extLst>
        </c:ser>
        <c:ser>
          <c:idx val="98"/>
          <c:order val="99"/>
          <c:tx>
            <c:strRef>
              <c:f>Tabelle3!$K$85</c:f>
              <c:strCache>
                <c:ptCount val="1"/>
                <c:pt idx="0">
                  <c:v>30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Tabelle3!$L$85:$L$86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xVal>
          <c:yVal>
            <c:numRef>
              <c:f>Tabelle3!$M$85:$M$86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BA-3430-42F0-A1BB-61E91906CCE4}"/>
            </c:ext>
          </c:extLst>
        </c:ser>
        <c:ser>
          <c:idx val="100"/>
          <c:order val="100"/>
          <c:tx>
            <c:strRef>
              <c:f>Tabelle3!$K$87</c:f>
              <c:strCache>
                <c:ptCount val="1"/>
                <c:pt idx="0">
                  <c:v>31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Tabelle3!$L$87:$L$88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xVal>
          <c:yVal>
            <c:numRef>
              <c:f>Tabelle3!$M$87:$M$88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BB-3430-42F0-A1BB-61E91906CCE4}"/>
            </c:ext>
          </c:extLst>
        </c:ser>
        <c:ser>
          <c:idx val="101"/>
          <c:order val="101"/>
          <c:tx>
            <c:strRef>
              <c:f>Tabelle3!$K$89</c:f>
              <c:strCache>
                <c:ptCount val="1"/>
                <c:pt idx="0">
                  <c:v>32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Tabelle3!$L$89:$L$90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xVal>
          <c:yVal>
            <c:numRef>
              <c:f>Tabelle3!$M$89:$M$90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BC-3430-42F0-A1BB-61E91906CCE4}"/>
            </c:ext>
          </c:extLst>
        </c:ser>
        <c:ser>
          <c:idx val="102"/>
          <c:order val="102"/>
          <c:tx>
            <c:strRef>
              <c:f>Tabelle3!$I$92</c:f>
              <c:strCache>
                <c:ptCount val="1"/>
                <c:pt idx="0">
                  <c:v>333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Tabelle3!$L$91:$L$92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xVal>
          <c:yVal>
            <c:numRef>
              <c:f>Tabelle3!$M$91:$M$92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BD-3430-42F0-A1BB-61E91906CCE4}"/>
            </c:ext>
          </c:extLst>
        </c:ser>
        <c:ser>
          <c:idx val="103"/>
          <c:order val="103"/>
          <c:tx>
            <c:strRef>
              <c:f>Tabelle3!$K$93</c:f>
              <c:strCache>
                <c:ptCount val="1"/>
                <c:pt idx="0">
                  <c:v>34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Tabelle3!$L$93:$L$94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xVal>
          <c:yVal>
            <c:numRef>
              <c:f>Tabelle3!$M$93:$M$94</c:f>
              <c:numCache>
                <c:formatCode>General</c:formatCode>
                <c:ptCount val="2"/>
                <c:pt idx="0">
                  <c:v>-100000</c:v>
                </c:pt>
                <c:pt idx="1">
                  <c:v>-100000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BE-3430-42F0-A1BB-61E91906C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117152"/>
        <c:axId val="199115192"/>
      </c:scatterChart>
      <c:valAx>
        <c:axId val="199117152"/>
        <c:scaling>
          <c:orientation val="minMax"/>
          <c:max val="2000"/>
          <c:min val="-175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99115192"/>
        <c:crosses val="autoZero"/>
        <c:crossBetween val="midCat"/>
        <c:majorUnit val="250"/>
        <c:minorUnit val="250"/>
      </c:valAx>
      <c:valAx>
        <c:axId val="199115192"/>
        <c:scaling>
          <c:orientation val="minMax"/>
          <c:max val="67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117152"/>
        <c:crossesAt val="0"/>
        <c:crossBetween val="midCat"/>
        <c:majorUnit val="2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>
      <c:oddHeader>&amp;RMehr als Pumpen</c:oddHeader>
      <c:oddFooter>&amp;LSchachtselector V.1.0</c:oddFooter>
    </c:headerFooter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Tabelle2!$A$6" lockText="1" noThreeD="1"/>
</file>

<file path=xl/ctrlProps/ctrlProp10.xml><?xml version="1.0" encoding="utf-8"?>
<formControlPr xmlns="http://schemas.microsoft.com/office/spreadsheetml/2009/9/main" objectType="CheckBox" fmlaLink="Tabelle2!$B$35" lockText="1" noThreeD="1"/>
</file>

<file path=xl/ctrlProps/ctrlProp100.xml><?xml version="1.0" encoding="utf-8"?>
<formControlPr xmlns="http://schemas.microsoft.com/office/spreadsheetml/2009/9/main" objectType="Drop" dropStyle="combo" dx="22" fmlaLink="'Berechnung PDL'!$I$36" fmlaRange="'Berechnung PDL'!$Y$32:$Y$54" noThreeD="1" sel="1" val="0"/>
</file>

<file path=xl/ctrlProps/ctrlProp101.xml><?xml version="1.0" encoding="utf-8"?>
<formControlPr xmlns="http://schemas.microsoft.com/office/spreadsheetml/2009/9/main" objectType="Drop" dropStyle="combo" dx="22" fmlaLink="'Berechnung PDL'!$I$50" fmlaRange="'Berechnung PDL'!$Y$32:$Y$54" noThreeD="1" sel="1" val="0"/>
</file>

<file path=xl/ctrlProps/ctrlProp102.xml><?xml version="1.0" encoding="utf-8"?>
<formControlPr xmlns="http://schemas.microsoft.com/office/spreadsheetml/2009/9/main" objectType="Drop" dropStyle="combo" dx="22" fmlaLink="'Berechnung PDL'!$L$50" fmlaRange="'Berechnung PDL'!$B$56:$B$96" noThreeD="1" sel="1" val="0"/>
</file>

<file path=xl/ctrlProps/ctrlProp103.xml><?xml version="1.0" encoding="utf-8"?>
<formControlPr xmlns="http://schemas.microsoft.com/office/spreadsheetml/2009/9/main" objectType="Drop" dropStyle="combo" dx="22" fmlaLink="'Berechnung PDL'!$L$49" fmlaRange="'Berechnung PDL'!$B$56:$B$96" noThreeD="1" sel="1" val="0"/>
</file>

<file path=xl/ctrlProps/ctrlProp104.xml><?xml version="1.0" encoding="utf-8"?>
<formControlPr xmlns="http://schemas.microsoft.com/office/spreadsheetml/2009/9/main" objectType="Drop" dropStyle="combo" dx="22" fmlaLink="'Berechnung PDL'!$L$44" fmlaRange="'Berechnung PDL'!$B$56:$B$96" noThreeD="1" sel="1" val="0"/>
</file>

<file path=xl/ctrlProps/ctrlProp105.xml><?xml version="1.0" encoding="utf-8"?>
<formControlPr xmlns="http://schemas.microsoft.com/office/spreadsheetml/2009/9/main" objectType="Drop" dropStyle="combo" dx="22" fmlaLink="'Berechnung PDL'!$L$43" fmlaRange="'Berechnung PDL'!$B$56:$B$96" noThreeD="1" sel="1" val="0"/>
</file>

<file path=xl/ctrlProps/ctrlProp106.xml><?xml version="1.0" encoding="utf-8"?>
<formControlPr xmlns="http://schemas.microsoft.com/office/spreadsheetml/2009/9/main" objectType="Drop" dropStyle="combo" dx="22" fmlaLink="'Berechnung PDL'!$L$42" fmlaRange="'Berechnung PDL'!$B$56:$B$96" noThreeD="1" sel="1" val="0"/>
</file>

<file path=xl/ctrlProps/ctrlProp107.xml><?xml version="1.0" encoding="utf-8"?>
<formControlPr xmlns="http://schemas.microsoft.com/office/spreadsheetml/2009/9/main" objectType="Drop" dropStyle="combo" dx="22" fmlaLink="'Berechnung PDL'!$L$41" fmlaRange="'Berechnung PDL'!$B$56:$B$96" noThreeD="1" sel="1" val="0"/>
</file>

<file path=xl/ctrlProps/ctrlProp108.xml><?xml version="1.0" encoding="utf-8"?>
<formControlPr xmlns="http://schemas.microsoft.com/office/spreadsheetml/2009/9/main" objectType="Drop" dropStyle="combo" dx="22" fmlaLink="'Berechnung PDL'!$L$40" fmlaRange="'Berechnung PDL'!$B$56:$B$96" noThreeD="1" sel="1" val="0"/>
</file>

<file path=xl/ctrlProps/ctrlProp109.xml><?xml version="1.0" encoding="utf-8"?>
<formControlPr xmlns="http://schemas.microsoft.com/office/spreadsheetml/2009/9/main" objectType="Drop" dropStyle="combo" dx="22" fmlaLink="'Berechnung PDL'!$L$39" fmlaRange="'Berechnung PDL'!$B$56:$B$96" noThreeD="1" sel="1" val="0"/>
</file>

<file path=xl/ctrlProps/ctrlProp11.xml><?xml version="1.0" encoding="utf-8"?>
<formControlPr xmlns="http://schemas.microsoft.com/office/spreadsheetml/2009/9/main" objectType="CheckBox" fmlaLink="Tabelle2!$B$37" lockText="1" noThreeD="1"/>
</file>

<file path=xl/ctrlProps/ctrlProp110.xml><?xml version="1.0" encoding="utf-8"?>
<formControlPr xmlns="http://schemas.microsoft.com/office/spreadsheetml/2009/9/main" objectType="Drop" dropStyle="combo" dx="22" fmlaLink="'Berechnung PDL'!$L$38" fmlaRange="'Berechnung PDL'!$B$56:$B$96" noThreeD="1" sel="1" val="0"/>
</file>

<file path=xl/ctrlProps/ctrlProp111.xml><?xml version="1.0" encoding="utf-8"?>
<formControlPr xmlns="http://schemas.microsoft.com/office/spreadsheetml/2009/9/main" objectType="Drop" dropStyle="combo" dx="22" fmlaLink="'Berechnung PDL'!$L$37" fmlaRange="'Berechnung PDL'!$B$56:$B$96" noThreeD="1" sel="1" val="0"/>
</file>

<file path=xl/ctrlProps/ctrlProp112.xml><?xml version="1.0" encoding="utf-8"?>
<formControlPr xmlns="http://schemas.microsoft.com/office/spreadsheetml/2009/9/main" objectType="Drop" dropStyle="combo" dx="22" fmlaLink="'Berechnung PDL'!$L$36" fmlaRange="'Berechnung PDL'!$B$56:$B$96" noThreeD="1" sel="1" val="0"/>
</file>

<file path=xl/ctrlProps/ctrlProp113.xml><?xml version="1.0" encoding="utf-8"?>
<formControlPr xmlns="http://schemas.microsoft.com/office/spreadsheetml/2009/9/main" objectType="Drop" dropStyle="combo" dx="22" fmlaLink="'Berechnung PDL'!$L$35" fmlaRange="'Berechnung PDL'!$B$56:$B$96" noThreeD="1" sel="3" val="2"/>
</file>

<file path=xl/ctrlProps/ctrlProp114.xml><?xml version="1.0" encoding="utf-8"?>
<formControlPr xmlns="http://schemas.microsoft.com/office/spreadsheetml/2009/9/main" objectType="Drop" dropStyle="combo" dx="22" fmlaLink="'Berechnung PDL'!$L$46" fmlaRange="'Berechnung PDL'!$B$56:$B$96" noThreeD="1" sel="1" val="0"/>
</file>

<file path=xl/ctrlProps/ctrlProp115.xml><?xml version="1.0" encoding="utf-8"?>
<formControlPr xmlns="http://schemas.microsoft.com/office/spreadsheetml/2009/9/main" objectType="Drop" dropStyle="combo" dx="22" fmlaLink="'Berechnung PDL'!$L$47" fmlaRange="'Berechnung PDL'!$B$56:$B$96" noThreeD="1" sel="1" val="0"/>
</file>

<file path=xl/ctrlProps/ctrlProp116.xml><?xml version="1.0" encoding="utf-8"?>
<formControlPr xmlns="http://schemas.microsoft.com/office/spreadsheetml/2009/9/main" objectType="Drop" dropStyle="combo" dx="22" fmlaLink="'Berechnung PDL'!$L$45" fmlaRange="'Berechnung PDL'!$B$56:$B$96" noThreeD="1" sel="1" val="0"/>
</file>

<file path=xl/ctrlProps/ctrlProp117.xml><?xml version="1.0" encoding="utf-8"?>
<formControlPr xmlns="http://schemas.microsoft.com/office/spreadsheetml/2009/9/main" objectType="Drop" dropStyle="combo" dx="22" fmlaLink="'Berechnung PDL'!$L$48" fmlaRange="'Berechnung PDL'!$B$56:$B$96" noThreeD="1" sel="1" val="0"/>
</file>

<file path=xl/ctrlProps/ctrlProp118.xml><?xml version="1.0" encoding="utf-8"?>
<formControlPr xmlns="http://schemas.microsoft.com/office/spreadsheetml/2009/9/main" objectType="Drop" dropStyle="combo" dx="22" fmlaLink="'Berechnung PDL'!$S$32" fmlaRange="'Berechnung PDL'!$V$31:$V$32" noThreeD="1" sel="2" val="0"/>
</file>

<file path=xl/ctrlProps/ctrlProp119.xml><?xml version="1.0" encoding="utf-8"?>
<formControlPr xmlns="http://schemas.microsoft.com/office/spreadsheetml/2009/9/main" objectType="Drop" dropStyle="combo" dx="22" fmlaLink="'Berechnung PDL'!$H$54" fmlaRange="'Berechnung PDL'!$I$54:$I$56" noThreeD="1" sel="2" val="0"/>
</file>

<file path=xl/ctrlProps/ctrlProp12.xml><?xml version="1.0" encoding="utf-8"?>
<formControlPr xmlns="http://schemas.microsoft.com/office/spreadsheetml/2009/9/main" objectType="CheckBox" fmlaLink="Tabelle2!$B$38" lockText="1" noThreeD="1"/>
</file>

<file path=xl/ctrlProps/ctrlProp120.xml><?xml version="1.0" encoding="utf-8"?>
<formControlPr xmlns="http://schemas.microsoft.com/office/spreadsheetml/2009/9/main" objectType="Drop" dropStyle="combo" dx="22" fmlaLink="'Berechnung PDL'!$I$38" fmlaRange="'Berechnung PDL'!$Y$32:$Y$54" noThreeD="1" sel="1" val="0"/>
</file>

<file path=xl/ctrlProps/ctrlProp121.xml><?xml version="1.0" encoding="utf-8"?>
<formControlPr xmlns="http://schemas.microsoft.com/office/spreadsheetml/2009/9/main" objectType="Drop" dropStyle="combo" dx="22" fmlaLink="'Berechnung PDL'!$I$39" fmlaRange="'Berechnung PDL'!$Y$32:$Y$54" noThreeD="1" sel="1" val="0"/>
</file>

<file path=xl/ctrlProps/ctrlProp122.xml><?xml version="1.0" encoding="utf-8"?>
<formControlPr xmlns="http://schemas.microsoft.com/office/spreadsheetml/2009/9/main" objectType="Drop" dropStyle="combo" dx="22" fmlaLink="'Berechnung PDL'!$I$40" fmlaRange="'Berechnung PDL'!$Y$32:$Y$54" noThreeD="1" sel="1" val="0"/>
</file>

<file path=xl/ctrlProps/ctrlProp123.xml><?xml version="1.0" encoding="utf-8"?>
<formControlPr xmlns="http://schemas.microsoft.com/office/spreadsheetml/2009/9/main" objectType="Drop" dropStyle="combo" dx="22" fmlaLink="'Berechnung PDL'!$I$41" fmlaRange="'Berechnung PDL'!$Y$32:$Y$54" noThreeD="1" sel="1" val="0"/>
</file>

<file path=xl/ctrlProps/ctrlProp124.xml><?xml version="1.0" encoding="utf-8"?>
<formControlPr xmlns="http://schemas.microsoft.com/office/spreadsheetml/2009/9/main" objectType="Drop" dropStyle="combo" dx="22" fmlaLink="'Berechnung PDL'!$I$42" fmlaRange="'Berechnung PDL'!$Y$32:$Y$54" noThreeD="1" sel="1" val="0"/>
</file>

<file path=xl/ctrlProps/ctrlProp125.xml><?xml version="1.0" encoding="utf-8"?>
<formControlPr xmlns="http://schemas.microsoft.com/office/spreadsheetml/2009/9/main" objectType="Drop" dropStyle="combo" dx="22" fmlaLink="'Berechnung PDL'!$I$43" fmlaRange="'Berechnung PDL'!$Y$32:$Y$54" noThreeD="1" sel="1" val="0"/>
</file>

<file path=xl/ctrlProps/ctrlProp126.xml><?xml version="1.0" encoding="utf-8"?>
<formControlPr xmlns="http://schemas.microsoft.com/office/spreadsheetml/2009/9/main" objectType="Drop" dropStyle="combo" dx="22" fmlaLink="'Berechnung PDL'!$I$44" fmlaRange="'Berechnung PDL'!$Y$32:$Y$54" noThreeD="1" sel="1" val="0"/>
</file>

<file path=xl/ctrlProps/ctrlProp127.xml><?xml version="1.0" encoding="utf-8"?>
<formControlPr xmlns="http://schemas.microsoft.com/office/spreadsheetml/2009/9/main" objectType="Drop" dropStyle="combo" dx="22" fmlaLink="'Berechnung PDL'!$I$45" fmlaRange="'Berechnung PDL'!$Y$32:$Y$54" noThreeD="1" sel="1" val="0"/>
</file>

<file path=xl/ctrlProps/ctrlProp128.xml><?xml version="1.0" encoding="utf-8"?>
<formControlPr xmlns="http://schemas.microsoft.com/office/spreadsheetml/2009/9/main" objectType="Drop" dropStyle="combo" dx="22" fmlaLink="'Berechnung PDL'!$I$46" fmlaRange="'Berechnung PDL'!$Y$32:$Y$54" noThreeD="1" sel="1" val="0"/>
</file>

<file path=xl/ctrlProps/ctrlProp129.xml><?xml version="1.0" encoding="utf-8"?>
<formControlPr xmlns="http://schemas.microsoft.com/office/spreadsheetml/2009/9/main" objectType="Drop" dropStyle="combo" dx="22" fmlaLink="'Berechnung PDL'!$I$47" fmlaRange="'Berechnung PDL'!$Y$32:$Y$54" noThreeD="1" sel="1" val="0"/>
</file>

<file path=xl/ctrlProps/ctrlProp13.xml><?xml version="1.0" encoding="utf-8"?>
<formControlPr xmlns="http://schemas.microsoft.com/office/spreadsheetml/2009/9/main" objectType="CheckBox" fmlaLink="Tabelle2!$B$42" lockText="1" noThreeD="1"/>
</file>

<file path=xl/ctrlProps/ctrlProp130.xml><?xml version="1.0" encoding="utf-8"?>
<formControlPr xmlns="http://schemas.microsoft.com/office/spreadsheetml/2009/9/main" objectType="Drop" dropStyle="combo" dx="22" fmlaLink="'Berechnung PDL'!$I$48" fmlaRange="'Berechnung PDL'!$Y$32:$Y$54" noThreeD="1" sel="1" val="0"/>
</file>

<file path=xl/ctrlProps/ctrlProp131.xml><?xml version="1.0" encoding="utf-8"?>
<formControlPr xmlns="http://schemas.microsoft.com/office/spreadsheetml/2009/9/main" objectType="Drop" dropStyle="combo" dx="22" fmlaLink="'Berechnung PDL'!$I$49" fmlaRange="'Berechnung PDL'!$Y$32:$Y$54" noThreeD="1" sel="1" val="0"/>
</file>

<file path=xl/ctrlProps/ctrlProp132.xml><?xml version="1.0" encoding="utf-8"?>
<formControlPr xmlns="http://schemas.microsoft.com/office/spreadsheetml/2009/9/main" objectType="Drop" dropStyle="combo" dx="22" fmlaLink="'Berechnung PDL'!$I$50" fmlaRange="'Berechnung PDL'!$Y$32:$Y$54" noThreeD="1" sel="1" val="0"/>
</file>

<file path=xl/ctrlProps/ctrlProp14.xml><?xml version="1.0" encoding="utf-8"?>
<formControlPr xmlns="http://schemas.microsoft.com/office/spreadsheetml/2009/9/main" objectType="CheckBox" fmlaLink="Tabelle2!$B$44" lockText="1" noThreeD="1"/>
</file>

<file path=xl/ctrlProps/ctrlProp15.xml><?xml version="1.0" encoding="utf-8"?>
<formControlPr xmlns="http://schemas.microsoft.com/office/spreadsheetml/2009/9/main" objectType="CheckBox" fmlaLink="Tabelle2!$B$45" lockText="1" noThreeD="1"/>
</file>

<file path=xl/ctrlProps/ctrlProp16.xml><?xml version="1.0" encoding="utf-8"?>
<formControlPr xmlns="http://schemas.microsoft.com/office/spreadsheetml/2009/9/main" objectType="CheckBox" fmlaLink="Tabelle2!$B$47" lockText="1" noThreeD="1"/>
</file>

<file path=xl/ctrlProps/ctrlProp17.xml><?xml version="1.0" encoding="utf-8"?>
<formControlPr xmlns="http://schemas.microsoft.com/office/spreadsheetml/2009/9/main" objectType="CheckBox" fmlaLink="Tabelle2!$B$48" lockText="1" noThreeD="1"/>
</file>

<file path=xl/ctrlProps/ctrlProp18.xml><?xml version="1.0" encoding="utf-8"?>
<formControlPr xmlns="http://schemas.microsoft.com/office/spreadsheetml/2009/9/main" objectType="CheckBox" fmlaLink="Tabelle2!$B$49" lockText="1" noThreeD="1"/>
</file>

<file path=xl/ctrlProps/ctrlProp19.xml><?xml version="1.0" encoding="utf-8"?>
<formControlPr xmlns="http://schemas.microsoft.com/office/spreadsheetml/2009/9/main" objectType="CheckBox" fmlaLink="Tabelle2!$B$51" lockText="1" noThreeD="1"/>
</file>

<file path=xl/ctrlProps/ctrlProp2.xml><?xml version="1.0" encoding="utf-8"?>
<formControlPr xmlns="http://schemas.microsoft.com/office/spreadsheetml/2009/9/main" objectType="CheckBox" fmlaLink="Tabelle2!$A$7" lockText="1" noThreeD="1"/>
</file>

<file path=xl/ctrlProps/ctrlProp20.xml><?xml version="1.0" encoding="utf-8"?>
<formControlPr xmlns="http://schemas.microsoft.com/office/spreadsheetml/2009/9/main" objectType="CheckBox" fmlaLink="Tabelle2!$B$53" lockText="1" noThreeD="1"/>
</file>

<file path=xl/ctrlProps/ctrlProp21.xml><?xml version="1.0" encoding="utf-8"?>
<formControlPr xmlns="http://schemas.microsoft.com/office/spreadsheetml/2009/9/main" objectType="CheckBox" fmlaLink="Tabelle2!$B$40" lockText="1" noThreeD="1"/>
</file>

<file path=xl/ctrlProps/ctrlProp22.xml><?xml version="1.0" encoding="utf-8"?>
<formControlPr xmlns="http://schemas.microsoft.com/office/spreadsheetml/2009/9/main" objectType="CheckBox" fmlaLink="Tabelle2!$B$55" lockText="1" noThreeD="1"/>
</file>

<file path=xl/ctrlProps/ctrlProp23.xml><?xml version="1.0" encoding="utf-8"?>
<formControlPr xmlns="http://schemas.microsoft.com/office/spreadsheetml/2009/9/main" objectType="CheckBox" fmlaLink="Tabelle2!$Q$90" lockText="1" noThreeD="1"/>
</file>

<file path=xl/ctrlProps/ctrlProp24.xml><?xml version="1.0" encoding="utf-8"?>
<formControlPr xmlns="http://schemas.microsoft.com/office/spreadsheetml/2009/9/main" objectType="CheckBox" fmlaLink="Tabelle2!$Q$91" lockText="1" noThreeD="1"/>
</file>

<file path=xl/ctrlProps/ctrlProp25.xml><?xml version="1.0" encoding="utf-8"?>
<formControlPr xmlns="http://schemas.microsoft.com/office/spreadsheetml/2009/9/main" objectType="CheckBox" fmlaLink="Tabelle3!$BD$52" lockText="1" noThreeD="1"/>
</file>

<file path=xl/ctrlProps/ctrlProp26.xml><?xml version="1.0" encoding="utf-8"?>
<formControlPr xmlns="http://schemas.microsoft.com/office/spreadsheetml/2009/9/main" objectType="CheckBox" fmlaLink="Tabelle3!$BE$52" lockText="1" noThreeD="1"/>
</file>

<file path=xl/ctrlProps/ctrlProp27.xml><?xml version="1.0" encoding="utf-8"?>
<formControlPr xmlns="http://schemas.microsoft.com/office/spreadsheetml/2009/9/main" objectType="CheckBox" fmlaLink="Tabelle3!$BF$52" lockText="1" noThreeD="1"/>
</file>

<file path=xl/ctrlProps/ctrlProp28.xml><?xml version="1.0" encoding="utf-8"?>
<formControlPr xmlns="http://schemas.microsoft.com/office/spreadsheetml/2009/9/main" objectType="CheckBox" fmlaLink="Tabelle3!$BD$53" lockText="1" noThreeD="1"/>
</file>

<file path=xl/ctrlProps/ctrlProp29.xml><?xml version="1.0" encoding="utf-8"?>
<formControlPr xmlns="http://schemas.microsoft.com/office/spreadsheetml/2009/9/main" objectType="CheckBox" fmlaLink="Tabelle3!$BE$53" lockText="1" noThreeD="1"/>
</file>

<file path=xl/ctrlProps/ctrlProp3.xml><?xml version="1.0" encoding="utf-8"?>
<formControlPr xmlns="http://schemas.microsoft.com/office/spreadsheetml/2009/9/main" objectType="CheckBox" fmlaLink="Tabelle2!$A$8" lockText="1" noThreeD="1"/>
</file>

<file path=xl/ctrlProps/ctrlProp30.xml><?xml version="1.0" encoding="utf-8"?>
<formControlPr xmlns="http://schemas.microsoft.com/office/spreadsheetml/2009/9/main" objectType="CheckBox" fmlaLink="Tabelle3!$BF$53" lockText="1" noThreeD="1"/>
</file>

<file path=xl/ctrlProps/ctrlProp31.xml><?xml version="1.0" encoding="utf-8"?>
<formControlPr xmlns="http://schemas.microsoft.com/office/spreadsheetml/2009/9/main" objectType="CheckBox" fmlaLink="Tabelle3!$C$25" lockText="1" noThreeD="1"/>
</file>

<file path=xl/ctrlProps/ctrlProp32.xml><?xml version="1.0" encoding="utf-8"?>
<formControlPr xmlns="http://schemas.microsoft.com/office/spreadsheetml/2009/9/main" objectType="CheckBox" fmlaLink="Tabelle2!$E$7" lockText="1" noThreeD="1"/>
</file>

<file path=xl/ctrlProps/ctrlProp33.xml><?xml version="1.0" encoding="utf-8"?>
<formControlPr xmlns="http://schemas.microsoft.com/office/spreadsheetml/2009/9/main" objectType="CheckBox" fmlaLink="Tabelle2!$E$5" lockText="1" noThreeD="1"/>
</file>

<file path=xl/ctrlProps/ctrlProp34.xml><?xml version="1.0" encoding="utf-8"?>
<formControlPr xmlns="http://schemas.microsoft.com/office/spreadsheetml/2009/9/main" objectType="CheckBox" fmlaLink="Tabelle2!$E$8" lockText="1" noThreeD="1"/>
</file>

<file path=xl/ctrlProps/ctrlProp35.xml><?xml version="1.0" encoding="utf-8"?>
<formControlPr xmlns="http://schemas.microsoft.com/office/spreadsheetml/2009/9/main" objectType="CheckBox" fmlaLink="Tabelle2!$E$4" lockText="1" noThreeD="1"/>
</file>

<file path=xl/ctrlProps/ctrlProp36.xml><?xml version="1.0" encoding="utf-8"?>
<formControlPr xmlns="http://schemas.microsoft.com/office/spreadsheetml/2009/9/main" objectType="CheckBox" fmlaLink="Tabelle3!$BD$55" lockText="1" noThreeD="1"/>
</file>

<file path=xl/ctrlProps/ctrlProp37.xml><?xml version="1.0" encoding="utf-8"?>
<formControlPr xmlns="http://schemas.microsoft.com/office/spreadsheetml/2009/9/main" objectType="CheckBox" fmlaLink="Tabelle3!$BE$55" lockText="1" noThreeD="1"/>
</file>

<file path=xl/ctrlProps/ctrlProp38.xml><?xml version="1.0" encoding="utf-8"?>
<formControlPr xmlns="http://schemas.microsoft.com/office/spreadsheetml/2009/9/main" objectType="CheckBox" fmlaLink="Tabelle3!$BD$56" lockText="1" noThreeD="1"/>
</file>

<file path=xl/ctrlProps/ctrlProp39.xml><?xml version="1.0" encoding="utf-8"?>
<formControlPr xmlns="http://schemas.microsoft.com/office/spreadsheetml/2009/9/main" objectType="CheckBox" fmlaLink="Tabelle3!$BE$56" lockText="1" noThreeD="1"/>
</file>

<file path=xl/ctrlProps/ctrlProp4.xml><?xml version="1.0" encoding="utf-8"?>
<formControlPr xmlns="http://schemas.microsoft.com/office/spreadsheetml/2009/9/main" objectType="CheckBox" fmlaLink="Tabelle2!$A$9" lockText="1" noThreeD="1"/>
</file>

<file path=xl/ctrlProps/ctrlProp40.xml><?xml version="1.0" encoding="utf-8"?>
<formControlPr xmlns="http://schemas.microsoft.com/office/spreadsheetml/2009/9/main" objectType="CheckBox" fmlaLink="Tabelle3!$BD$57" lockText="1" noThreeD="1"/>
</file>

<file path=xl/ctrlProps/ctrlProp41.xml><?xml version="1.0" encoding="utf-8"?>
<formControlPr xmlns="http://schemas.microsoft.com/office/spreadsheetml/2009/9/main" objectType="CheckBox" fmlaLink="Tabelle3!$BE$57" lockText="1" noThreeD="1"/>
</file>

<file path=xl/ctrlProps/ctrlProp42.xml><?xml version="1.0" encoding="utf-8"?>
<formControlPr xmlns="http://schemas.microsoft.com/office/spreadsheetml/2009/9/main" objectType="CheckBox" fmlaLink="Tabelle3!$BD$58" lockText="1" noThreeD="1"/>
</file>

<file path=xl/ctrlProps/ctrlProp43.xml><?xml version="1.0" encoding="utf-8"?>
<formControlPr xmlns="http://schemas.microsoft.com/office/spreadsheetml/2009/9/main" objectType="CheckBox" fmlaLink="Tabelle3!$BE$58" lockText="1" noThreeD="1"/>
</file>

<file path=xl/ctrlProps/ctrlProp44.xml><?xml version="1.0" encoding="utf-8"?>
<formControlPr xmlns="http://schemas.microsoft.com/office/spreadsheetml/2009/9/main" objectType="CheckBox" fmlaLink="Tabelle2!$J$7" lockText="1" noThreeD="1"/>
</file>

<file path=xl/ctrlProps/ctrlProp45.xml><?xml version="1.0" encoding="utf-8"?>
<formControlPr xmlns="http://schemas.microsoft.com/office/spreadsheetml/2009/9/main" objectType="CheckBox" fmlaLink="Tabelle2!$J$8" lockText="1" noThreeD="1"/>
</file>

<file path=xl/ctrlProps/ctrlProp46.xml><?xml version="1.0" encoding="utf-8"?>
<formControlPr xmlns="http://schemas.microsoft.com/office/spreadsheetml/2009/9/main" objectType="CheckBox" fmlaLink="Tabelle2!$J$9" lockText="1" noThreeD="1"/>
</file>

<file path=xl/ctrlProps/ctrlProp47.xml><?xml version="1.0" encoding="utf-8"?>
<formControlPr xmlns="http://schemas.microsoft.com/office/spreadsheetml/2009/9/main" objectType="CheckBox" fmlaLink="Tabelle2!$J$10" lockText="1" noThreeD="1"/>
</file>

<file path=xl/ctrlProps/ctrlProp48.xml><?xml version="1.0" encoding="utf-8"?>
<formControlPr xmlns="http://schemas.microsoft.com/office/spreadsheetml/2009/9/main" objectType="CheckBox" fmlaLink="Tabelle2!$J$11" lockText="1" noThreeD="1"/>
</file>

<file path=xl/ctrlProps/ctrlProp49.xml><?xml version="1.0" encoding="utf-8"?>
<formControlPr xmlns="http://schemas.microsoft.com/office/spreadsheetml/2009/9/main" objectType="CheckBox" fmlaLink="Tabelle2!$J$12" lockText="1" noThreeD="1"/>
</file>

<file path=xl/ctrlProps/ctrlProp5.xml><?xml version="1.0" encoding="utf-8"?>
<formControlPr xmlns="http://schemas.microsoft.com/office/spreadsheetml/2009/9/main" objectType="CheckBox" fmlaLink="Tabelle2!$B$32" lockText="1" noThreeD="1"/>
</file>

<file path=xl/ctrlProps/ctrlProp50.xml><?xml version="1.0" encoding="utf-8"?>
<formControlPr xmlns="http://schemas.microsoft.com/office/spreadsheetml/2009/9/main" objectType="CheckBox" fmlaLink="Tabelle2!$J$15" lockText="1" noThreeD="1"/>
</file>

<file path=xl/ctrlProps/ctrlProp51.xml><?xml version="1.0" encoding="utf-8"?>
<formControlPr xmlns="http://schemas.microsoft.com/office/spreadsheetml/2009/9/main" objectType="CheckBox" fmlaLink="Tabelle2!$J$16" lockText="1" noThreeD="1"/>
</file>

<file path=xl/ctrlProps/ctrlProp52.xml><?xml version="1.0" encoding="utf-8"?>
<formControlPr xmlns="http://schemas.microsoft.com/office/spreadsheetml/2009/9/main" objectType="CheckBox" fmlaLink="Tabelle2!$J$17" lockText="1" noThreeD="1"/>
</file>

<file path=xl/ctrlProps/ctrlProp53.xml><?xml version="1.0" encoding="utf-8"?>
<formControlPr xmlns="http://schemas.microsoft.com/office/spreadsheetml/2009/9/main" objectType="CheckBox" fmlaLink="Tabelle2!$J$18" lockText="1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Radio" firstButton="1" fmlaLink="Tabelle3!$C$6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checked="Checked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fmlaLink="Tabelle2!$A$28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firstButton="1" fmlaLink="Tabelle3!$BK$20" lockText="1" noThreeD="1"/>
</file>

<file path=xl/ctrlProps/ctrlProp64.xml><?xml version="1.0" encoding="utf-8"?>
<formControlPr xmlns="http://schemas.microsoft.com/office/spreadsheetml/2009/9/main" objectType="Radio" checked="Checked" lockText="1" noThreeD="1"/>
</file>

<file path=xl/ctrlProps/ctrlProp65.xml><?xml version="1.0" encoding="utf-8"?>
<formControlPr xmlns="http://schemas.microsoft.com/office/spreadsheetml/2009/9/main" objectType="CheckBox" fmlaLink="Kollision!$R$7" lockText="1" noThreeD="1"/>
</file>

<file path=xl/ctrlProps/ctrlProp66.xml><?xml version="1.0" encoding="utf-8"?>
<formControlPr xmlns="http://schemas.microsoft.com/office/spreadsheetml/2009/9/main" objectType="Drop" dropStyle="combo" dx="22" fmlaLink="'Berechnung PDL'!$E$34" fmlaRange="'Berechnung PDL'!$B$33:$B$45" noThreeD="1" sel="2" val="0"/>
</file>

<file path=xl/ctrlProps/ctrlProp67.xml><?xml version="1.0" encoding="utf-8"?>
<formControlPr xmlns="http://schemas.microsoft.com/office/spreadsheetml/2009/9/main" objectType="Drop" dropStyle="combo" dx="22" fmlaLink="'Berechnung PDL'!$I$34" fmlaRange="'Berechnung PDL'!$Y$32:$Y$54" noThreeD="1" sel="19" val="15"/>
</file>

<file path=xl/ctrlProps/ctrlProp68.xml><?xml version="1.0" encoding="utf-8"?>
<formControlPr xmlns="http://schemas.microsoft.com/office/spreadsheetml/2009/9/main" objectType="Drop" dropStyle="combo" dx="22" fmlaLink="'Berechnung PDL'!$L$34" fmlaRange="'Berechnung PDL'!$B$56:$B$96" noThreeD="1" sel="38" val="33"/>
</file>

<file path=xl/ctrlProps/ctrlProp69.xml><?xml version="1.0" encoding="utf-8"?>
<formControlPr xmlns="http://schemas.microsoft.com/office/spreadsheetml/2009/9/main" objectType="Drop" dropStyle="combo" dx="22" fmlaLink="'Berechnung PDL'!$P$31" fmlaRange="'Berechnung PDL'!$C$14:$C$18" noThreeD="1" sel="1" val="0"/>
</file>

<file path=xl/ctrlProps/ctrlProp7.xml><?xml version="1.0" encoding="utf-8"?>
<formControlPr xmlns="http://schemas.microsoft.com/office/spreadsheetml/2009/9/main" objectType="CheckBox" fmlaLink="Tabelle2!$A$29" lockText="1" noThreeD="1"/>
</file>

<file path=xl/ctrlProps/ctrlProp70.xml><?xml version="1.0" encoding="utf-8"?>
<formControlPr xmlns="http://schemas.microsoft.com/office/spreadsheetml/2009/9/main" objectType="Drop" dropStyle="combo" dx="22" fmlaLink="'Berechnung PDL'!$E$40" fmlaRange="'Berechnung PDL'!$B$33:$B$45" noThreeD="1" sel="1" val="0"/>
</file>

<file path=xl/ctrlProps/ctrlProp71.xml><?xml version="1.0" encoding="utf-8"?>
<formControlPr xmlns="http://schemas.microsoft.com/office/spreadsheetml/2009/9/main" objectType="Drop" dropStyle="combo" dx="22" fmlaLink="'Berechnung PDL'!$E$39" fmlaRange="'Berechnung PDL'!$B$33:$B$45" noThreeD="1" sel="1" val="0"/>
</file>

<file path=xl/ctrlProps/ctrlProp72.xml><?xml version="1.0" encoding="utf-8"?>
<formControlPr xmlns="http://schemas.microsoft.com/office/spreadsheetml/2009/9/main" objectType="Drop" dropStyle="combo" dx="22" fmlaLink="'Berechnung PDL'!$E$35" fmlaRange="'Berechnung PDL'!$B$33:$B$45" noThreeD="1" sel="3" val="0"/>
</file>

<file path=xl/ctrlProps/ctrlProp73.xml><?xml version="1.0" encoding="utf-8"?>
<formControlPr xmlns="http://schemas.microsoft.com/office/spreadsheetml/2009/9/main" objectType="Drop" dropStyle="combo" dx="22" fmlaLink="'Berechnung PDL'!$E$36" fmlaRange="'Berechnung PDL'!$B$33:$B$45" noThreeD="1" sel="5" val="3"/>
</file>

<file path=xl/ctrlProps/ctrlProp74.xml><?xml version="1.0" encoding="utf-8"?>
<formControlPr xmlns="http://schemas.microsoft.com/office/spreadsheetml/2009/9/main" objectType="Drop" dropStyle="combo" dx="22" fmlaLink="'Berechnung PDL'!$E$37" fmlaRange="'Berechnung PDL'!$B$33:$B$45" noThreeD="1" sel="7" val="5"/>
</file>

<file path=xl/ctrlProps/ctrlProp75.xml><?xml version="1.0" encoding="utf-8"?>
<formControlPr xmlns="http://schemas.microsoft.com/office/spreadsheetml/2009/9/main" objectType="Drop" dropStyle="combo" dx="22" fmlaLink="'Berechnung PDL'!$E$50" fmlaRange="'Berechnung PDL'!$B$33:$B$45" noThreeD="1" sel="1" val="0"/>
</file>

<file path=xl/ctrlProps/ctrlProp76.xml><?xml version="1.0" encoding="utf-8"?>
<formControlPr xmlns="http://schemas.microsoft.com/office/spreadsheetml/2009/9/main" objectType="Drop" dropStyle="combo" dx="22" fmlaLink="'Berechnung PDL'!$E$49" fmlaRange="'Berechnung PDL'!$B$33:$B$45" noThreeD="1" sel="1" val="0"/>
</file>

<file path=xl/ctrlProps/ctrlProp77.xml><?xml version="1.0" encoding="utf-8"?>
<formControlPr xmlns="http://schemas.microsoft.com/office/spreadsheetml/2009/9/main" objectType="Drop" dropStyle="combo" dx="22" fmlaLink="'Berechnung PDL'!$E$48" fmlaRange="'Berechnung PDL'!$B$33:$B$45" noThreeD="1" sel="1" val="0"/>
</file>

<file path=xl/ctrlProps/ctrlProp78.xml><?xml version="1.0" encoding="utf-8"?>
<formControlPr xmlns="http://schemas.microsoft.com/office/spreadsheetml/2009/9/main" objectType="Drop" dropStyle="combo" dx="22" fmlaLink="'Berechnung PDL'!$E$44" fmlaRange="'Berechnung PDL'!$B$33:$B$45" noThreeD="1" sel="1" val="0"/>
</file>

<file path=xl/ctrlProps/ctrlProp79.xml><?xml version="1.0" encoding="utf-8"?>
<formControlPr xmlns="http://schemas.microsoft.com/office/spreadsheetml/2009/9/main" objectType="Drop" dropStyle="combo" dx="22" fmlaLink="'Berechnung PDL'!$E$43" fmlaRange="'Berechnung PDL'!$B$33:$B$45" noThreeD="1" sel="1" val="0"/>
</file>

<file path=xl/ctrlProps/ctrlProp8.xml><?xml version="1.0" encoding="utf-8"?>
<formControlPr xmlns="http://schemas.microsoft.com/office/spreadsheetml/2009/9/main" objectType="CheckBox" fmlaLink="Tabelle2!$B$33" lockText="1" noThreeD="1"/>
</file>

<file path=xl/ctrlProps/ctrlProp80.xml><?xml version="1.0" encoding="utf-8"?>
<formControlPr xmlns="http://schemas.microsoft.com/office/spreadsheetml/2009/9/main" objectType="Drop" dropStyle="combo" dx="22" fmlaLink="'Berechnung PDL'!$E$42" fmlaRange="'Berechnung PDL'!$B$33:$B$45" noThreeD="1" sel="1" val="0"/>
</file>

<file path=xl/ctrlProps/ctrlProp81.xml><?xml version="1.0" encoding="utf-8"?>
<formControlPr xmlns="http://schemas.microsoft.com/office/spreadsheetml/2009/9/main" objectType="Drop" dropStyle="combo" dx="22" fmlaLink="'Berechnung PDL'!$E$41" fmlaRange="'Berechnung PDL'!$B$33:$B$45" noThreeD="1" sel="1" val="0"/>
</file>

<file path=xl/ctrlProps/ctrlProp82.xml><?xml version="1.0" encoding="utf-8"?>
<formControlPr xmlns="http://schemas.microsoft.com/office/spreadsheetml/2009/9/main" objectType="Drop" dropStyle="combo" dx="22" fmlaLink="'Berechnung PDL'!$E$38" fmlaRange="'Berechnung PDL'!$B$33:$B$45" noThreeD="1" sel="1" val="0"/>
</file>

<file path=xl/ctrlProps/ctrlProp83.xml><?xml version="1.0" encoding="utf-8"?>
<formControlPr xmlns="http://schemas.microsoft.com/office/spreadsheetml/2009/9/main" objectType="Drop" dropStyle="combo" dx="22" fmlaLink="'Berechnung PDL'!$E$47" fmlaRange="'Berechnung PDL'!$B$33:$B$45" noThreeD="1" sel="1" val="0"/>
</file>

<file path=xl/ctrlProps/ctrlProp84.xml><?xml version="1.0" encoding="utf-8"?>
<formControlPr xmlns="http://schemas.microsoft.com/office/spreadsheetml/2009/9/main" objectType="Drop" dropStyle="combo" dx="22" fmlaLink="'Berechnung PDL'!$E$46" fmlaRange="'Berechnung PDL'!$B$33:$B$45" noThreeD="1" sel="1" val="0"/>
</file>

<file path=xl/ctrlProps/ctrlProp85.xml><?xml version="1.0" encoding="utf-8"?>
<formControlPr xmlns="http://schemas.microsoft.com/office/spreadsheetml/2009/9/main" objectType="Drop" dropStyle="combo" dx="22" fmlaLink="'Berechnung PDL'!$E$45" fmlaRange="'Berechnung PDL'!$B$33:$B$45" noThreeD="1" sel="1" val="0"/>
</file>

<file path=xl/ctrlProps/ctrlProp86.xml><?xml version="1.0" encoding="utf-8"?>
<formControlPr xmlns="http://schemas.microsoft.com/office/spreadsheetml/2009/9/main" objectType="Drop" dropStyle="combo" dx="22" fmlaLink="'Berechnung PDL'!$I$49" fmlaRange="'Berechnung PDL'!$Y$32:$Y$54" noThreeD="1" sel="1" val="0"/>
</file>

<file path=xl/ctrlProps/ctrlProp87.xml><?xml version="1.0" encoding="utf-8"?>
<formControlPr xmlns="http://schemas.microsoft.com/office/spreadsheetml/2009/9/main" objectType="Drop" dropStyle="combo" dx="22" fmlaLink="'Berechnung PDL'!$I$35" fmlaRange="'Berechnung PDL'!$Y$32:$Y$54" noThreeD="1" sel="1" val="0"/>
</file>

<file path=xl/ctrlProps/ctrlProp88.xml><?xml version="1.0" encoding="utf-8"?>
<formControlPr xmlns="http://schemas.microsoft.com/office/spreadsheetml/2009/9/main" objectType="Drop" dropStyle="combo" dx="22" fmlaLink="'Berechnung PDL'!$I$46" fmlaRange="'Berechnung PDL'!$Y$32:$Y$54" noThreeD="1" sel="1" val="0"/>
</file>

<file path=xl/ctrlProps/ctrlProp89.xml><?xml version="1.0" encoding="utf-8"?>
<formControlPr xmlns="http://schemas.microsoft.com/office/spreadsheetml/2009/9/main" objectType="Drop" dropStyle="combo" dx="22" fmlaLink="'Berechnung PDL'!$I$48" fmlaRange="'Berechnung PDL'!$Y$32:$Y$54" noThreeD="1" sel="1" val="0"/>
</file>

<file path=xl/ctrlProps/ctrlProp9.xml><?xml version="1.0" encoding="utf-8"?>
<formControlPr xmlns="http://schemas.microsoft.com/office/spreadsheetml/2009/9/main" objectType="CheckBox" fmlaLink="Tabelle2!$B$34" lockText="1" noThreeD="1"/>
</file>

<file path=xl/ctrlProps/ctrlProp90.xml><?xml version="1.0" encoding="utf-8"?>
<formControlPr xmlns="http://schemas.microsoft.com/office/spreadsheetml/2009/9/main" objectType="Drop" dropStyle="combo" dx="22" fmlaLink="'Berechnung PDL'!$I$47" fmlaRange="'Berechnung PDL'!$Y$32:$Y$54" noThreeD="1" sel="1" val="0"/>
</file>

<file path=xl/ctrlProps/ctrlProp91.xml><?xml version="1.0" encoding="utf-8"?>
<formControlPr xmlns="http://schemas.microsoft.com/office/spreadsheetml/2009/9/main" objectType="Drop" dropStyle="combo" dx="22" fmlaLink="'Berechnung PDL'!$I$45" fmlaRange="'Berechnung PDL'!$Y$32:$Y$54" noThreeD="1" sel="1" val="0"/>
</file>

<file path=xl/ctrlProps/ctrlProp92.xml><?xml version="1.0" encoding="utf-8"?>
<formControlPr xmlns="http://schemas.microsoft.com/office/spreadsheetml/2009/9/main" objectType="Drop" dropStyle="combo" dx="22" fmlaLink="'Berechnung PDL'!$I$44" fmlaRange="'Berechnung PDL'!$Y$32:$Y$54" noThreeD="1" sel="1" val="0"/>
</file>

<file path=xl/ctrlProps/ctrlProp93.xml><?xml version="1.0" encoding="utf-8"?>
<formControlPr xmlns="http://schemas.microsoft.com/office/spreadsheetml/2009/9/main" objectType="Drop" dropStyle="combo" dx="22" fmlaLink="'Berechnung PDL'!$I$43" fmlaRange="'Berechnung PDL'!$Y$32:$Y$54" noThreeD="1" sel="1" val="0"/>
</file>

<file path=xl/ctrlProps/ctrlProp94.xml><?xml version="1.0" encoding="utf-8"?>
<formControlPr xmlns="http://schemas.microsoft.com/office/spreadsheetml/2009/9/main" objectType="Drop" dropStyle="combo" dx="22" fmlaLink="'Berechnung PDL'!$I$42" fmlaRange="'Berechnung PDL'!$Y$32:$Y$54" noThreeD="1" sel="1" val="0"/>
</file>

<file path=xl/ctrlProps/ctrlProp95.xml><?xml version="1.0" encoding="utf-8"?>
<formControlPr xmlns="http://schemas.microsoft.com/office/spreadsheetml/2009/9/main" objectType="Drop" dropStyle="combo" dx="22" fmlaLink="'Berechnung PDL'!$I$41" fmlaRange="'Berechnung PDL'!$Y$32:$Y$54" noThreeD="1" sel="1" val="0"/>
</file>

<file path=xl/ctrlProps/ctrlProp96.xml><?xml version="1.0" encoding="utf-8"?>
<formControlPr xmlns="http://schemas.microsoft.com/office/spreadsheetml/2009/9/main" objectType="Drop" dropStyle="combo" dx="22" fmlaLink="'Berechnung PDL'!$I$40" fmlaRange="'Berechnung PDL'!$Y$32:$Y$54" noThreeD="1" sel="1" val="0"/>
</file>

<file path=xl/ctrlProps/ctrlProp97.xml><?xml version="1.0" encoding="utf-8"?>
<formControlPr xmlns="http://schemas.microsoft.com/office/spreadsheetml/2009/9/main" objectType="Drop" dropStyle="combo" dx="22" fmlaLink="'Berechnung PDL'!$I$39" fmlaRange="'Berechnung PDL'!$Y$32:$Y$54" noThreeD="1" sel="1" val="0"/>
</file>

<file path=xl/ctrlProps/ctrlProp98.xml><?xml version="1.0" encoding="utf-8"?>
<formControlPr xmlns="http://schemas.microsoft.com/office/spreadsheetml/2009/9/main" objectType="Drop" dropStyle="combo" dx="22" fmlaLink="'Berechnung PDL'!$I$38" fmlaRange="'Berechnung PDL'!$Y$32:$Y$54" noThreeD="1" sel="1" val="0"/>
</file>

<file path=xl/ctrlProps/ctrlProp99.xml><?xml version="1.0" encoding="utf-8"?>
<formControlPr xmlns="http://schemas.microsoft.com/office/spreadsheetml/2009/9/main" objectType="Drop" dropStyle="combo" dx="22" fmlaLink="'Berechnung PDL'!$I$37" fmlaRange="'Berechnung PDL'!$Y$32:$Y$54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71</xdr:row>
          <xdr:rowOff>171450</xdr:rowOff>
        </xdr:from>
        <xdr:to>
          <xdr:col>3</xdr:col>
          <xdr:colOff>800100</xdr:colOff>
          <xdr:row>73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73</xdr:row>
          <xdr:rowOff>19050</xdr:rowOff>
        </xdr:from>
        <xdr:to>
          <xdr:col>3</xdr:col>
          <xdr:colOff>800100</xdr:colOff>
          <xdr:row>74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73</xdr:row>
          <xdr:rowOff>180975</xdr:rowOff>
        </xdr:from>
        <xdr:to>
          <xdr:col>3</xdr:col>
          <xdr:colOff>800100</xdr:colOff>
          <xdr:row>75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74</xdr:row>
          <xdr:rowOff>180975</xdr:rowOff>
        </xdr:from>
        <xdr:to>
          <xdr:col>3</xdr:col>
          <xdr:colOff>800100</xdr:colOff>
          <xdr:row>76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106</xdr:row>
          <xdr:rowOff>190500</xdr:rowOff>
        </xdr:from>
        <xdr:to>
          <xdr:col>2</xdr:col>
          <xdr:colOff>333375</xdr:colOff>
          <xdr:row>108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102</xdr:row>
          <xdr:rowOff>180975</xdr:rowOff>
        </xdr:from>
        <xdr:to>
          <xdr:col>2</xdr:col>
          <xdr:colOff>352425</xdr:colOff>
          <xdr:row>104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103</xdr:row>
          <xdr:rowOff>171450</xdr:rowOff>
        </xdr:from>
        <xdr:to>
          <xdr:col>2</xdr:col>
          <xdr:colOff>342900</xdr:colOff>
          <xdr:row>105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107</xdr:row>
          <xdr:rowOff>180975</xdr:rowOff>
        </xdr:from>
        <xdr:to>
          <xdr:col>2</xdr:col>
          <xdr:colOff>352425</xdr:colOff>
          <xdr:row>109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108</xdr:row>
          <xdr:rowOff>180975</xdr:rowOff>
        </xdr:from>
        <xdr:to>
          <xdr:col>2</xdr:col>
          <xdr:colOff>352425</xdr:colOff>
          <xdr:row>110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109</xdr:row>
          <xdr:rowOff>180975</xdr:rowOff>
        </xdr:from>
        <xdr:to>
          <xdr:col>2</xdr:col>
          <xdr:colOff>371475</xdr:colOff>
          <xdr:row>111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106</xdr:row>
          <xdr:rowOff>180975</xdr:rowOff>
        </xdr:from>
        <xdr:to>
          <xdr:col>4</xdr:col>
          <xdr:colOff>771525</xdr:colOff>
          <xdr:row>108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107</xdr:row>
          <xdr:rowOff>161925</xdr:rowOff>
        </xdr:from>
        <xdr:to>
          <xdr:col>4</xdr:col>
          <xdr:colOff>790575</xdr:colOff>
          <xdr:row>108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111</xdr:row>
          <xdr:rowOff>0</xdr:rowOff>
        </xdr:from>
        <xdr:to>
          <xdr:col>4</xdr:col>
          <xdr:colOff>819150</xdr:colOff>
          <xdr:row>112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112</xdr:row>
          <xdr:rowOff>171450</xdr:rowOff>
        </xdr:from>
        <xdr:to>
          <xdr:col>4</xdr:col>
          <xdr:colOff>790575</xdr:colOff>
          <xdr:row>113</xdr:row>
          <xdr:rowOff>171450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113</xdr:row>
          <xdr:rowOff>161925</xdr:rowOff>
        </xdr:from>
        <xdr:to>
          <xdr:col>4</xdr:col>
          <xdr:colOff>781050</xdr:colOff>
          <xdr:row>114</xdr:row>
          <xdr:rowOff>180975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112</xdr:row>
          <xdr:rowOff>180975</xdr:rowOff>
        </xdr:from>
        <xdr:to>
          <xdr:col>2</xdr:col>
          <xdr:colOff>342900</xdr:colOff>
          <xdr:row>114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113</xdr:row>
          <xdr:rowOff>180975</xdr:rowOff>
        </xdr:from>
        <xdr:to>
          <xdr:col>2</xdr:col>
          <xdr:colOff>352425</xdr:colOff>
          <xdr:row>115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114</xdr:row>
          <xdr:rowOff>180975</xdr:rowOff>
        </xdr:from>
        <xdr:to>
          <xdr:col>2</xdr:col>
          <xdr:colOff>352425</xdr:colOff>
          <xdr:row>115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110</xdr:row>
          <xdr:rowOff>180975</xdr:rowOff>
        </xdr:from>
        <xdr:to>
          <xdr:col>2</xdr:col>
          <xdr:colOff>371475</xdr:colOff>
          <xdr:row>112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111</xdr:row>
          <xdr:rowOff>180975</xdr:rowOff>
        </xdr:from>
        <xdr:to>
          <xdr:col>2</xdr:col>
          <xdr:colOff>333375</xdr:colOff>
          <xdr:row>112</xdr:row>
          <xdr:rowOff>180975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111</xdr:row>
          <xdr:rowOff>171450</xdr:rowOff>
        </xdr:from>
        <xdr:to>
          <xdr:col>4</xdr:col>
          <xdr:colOff>771525</xdr:colOff>
          <xdr:row>113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116</xdr:row>
          <xdr:rowOff>0</xdr:rowOff>
        </xdr:from>
        <xdr:to>
          <xdr:col>2</xdr:col>
          <xdr:colOff>342900</xdr:colOff>
          <xdr:row>117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102</xdr:row>
          <xdr:rowOff>171450</xdr:rowOff>
        </xdr:from>
        <xdr:to>
          <xdr:col>4</xdr:col>
          <xdr:colOff>838200</xdr:colOff>
          <xdr:row>104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103</xdr:row>
          <xdr:rowOff>161925</xdr:rowOff>
        </xdr:from>
        <xdr:to>
          <xdr:col>4</xdr:col>
          <xdr:colOff>790575</xdr:colOff>
          <xdr:row>104</xdr:row>
          <xdr:rowOff>180975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447261</xdr:colOff>
      <xdr:row>191</xdr:row>
      <xdr:rowOff>182217</xdr:rowOff>
    </xdr:from>
    <xdr:to>
      <xdr:col>6</xdr:col>
      <xdr:colOff>414618</xdr:colOff>
      <xdr:row>224</xdr:row>
      <xdr:rowOff>11206</xdr:rowOff>
    </xdr:to>
    <xdr:graphicFrame macro="">
      <xdr:nvGraphicFramePr>
        <xdr:cNvPr id="34" name="Diagramm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129</xdr:row>
          <xdr:rowOff>161925</xdr:rowOff>
        </xdr:from>
        <xdr:to>
          <xdr:col>4</xdr:col>
          <xdr:colOff>352425</xdr:colOff>
          <xdr:row>131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xmlns="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129</xdr:row>
          <xdr:rowOff>161925</xdr:rowOff>
        </xdr:from>
        <xdr:to>
          <xdr:col>5</xdr:col>
          <xdr:colOff>323850</xdr:colOff>
          <xdr:row>131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xmlns="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129</xdr:row>
          <xdr:rowOff>142875</xdr:rowOff>
        </xdr:from>
        <xdr:to>
          <xdr:col>6</xdr:col>
          <xdr:colOff>619125</xdr:colOff>
          <xdr:row>131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xmlns="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136</xdr:row>
          <xdr:rowOff>180975</xdr:rowOff>
        </xdr:from>
        <xdr:to>
          <xdr:col>4</xdr:col>
          <xdr:colOff>352425</xdr:colOff>
          <xdr:row>138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136</xdr:row>
          <xdr:rowOff>180975</xdr:rowOff>
        </xdr:from>
        <xdr:to>
          <xdr:col>5</xdr:col>
          <xdr:colOff>323850</xdr:colOff>
          <xdr:row>138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137</xdr:row>
          <xdr:rowOff>0</xdr:rowOff>
        </xdr:from>
        <xdr:to>
          <xdr:col>6</xdr:col>
          <xdr:colOff>552450</xdr:colOff>
          <xdr:row>138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187</xdr:row>
          <xdr:rowOff>0</xdr:rowOff>
        </xdr:from>
        <xdr:to>
          <xdr:col>2</xdr:col>
          <xdr:colOff>476250</xdr:colOff>
          <xdr:row>188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2667000</xdr:colOff>
          <xdr:row>81</xdr:row>
          <xdr:rowOff>180975</xdr:rowOff>
        </xdr:from>
        <xdr:to>
          <xdr:col>4</xdr:col>
          <xdr:colOff>19050</xdr:colOff>
          <xdr:row>83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xmlns="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2590800</xdr:colOff>
          <xdr:row>68</xdr:row>
          <xdr:rowOff>9525</xdr:rowOff>
        </xdr:from>
        <xdr:to>
          <xdr:col>3</xdr:col>
          <xdr:colOff>2847975</xdr:colOff>
          <xdr:row>69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xmlns="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2667000</xdr:colOff>
          <xdr:row>82</xdr:row>
          <xdr:rowOff>161925</xdr:rowOff>
        </xdr:from>
        <xdr:to>
          <xdr:col>4</xdr:col>
          <xdr:colOff>9525</xdr:colOff>
          <xdr:row>84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xmlns="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2590800</xdr:colOff>
          <xdr:row>67</xdr:row>
          <xdr:rowOff>9525</xdr:rowOff>
        </xdr:from>
        <xdr:to>
          <xdr:col>3</xdr:col>
          <xdr:colOff>2800350</xdr:colOff>
          <xdr:row>67</xdr:row>
          <xdr:rowOff>190500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xmlns="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149</xdr:row>
          <xdr:rowOff>133350</xdr:rowOff>
        </xdr:from>
        <xdr:to>
          <xdr:col>4</xdr:col>
          <xdr:colOff>323850</xdr:colOff>
          <xdr:row>151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xmlns="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149</xdr:row>
          <xdr:rowOff>161925</xdr:rowOff>
        </xdr:from>
        <xdr:to>
          <xdr:col>5</xdr:col>
          <xdr:colOff>276225</xdr:colOff>
          <xdr:row>150</xdr:row>
          <xdr:rowOff>152400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xmlns="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156</xdr:row>
          <xdr:rowOff>152400</xdr:rowOff>
        </xdr:from>
        <xdr:to>
          <xdr:col>4</xdr:col>
          <xdr:colOff>352425</xdr:colOff>
          <xdr:row>157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xmlns="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156</xdr:row>
          <xdr:rowOff>161925</xdr:rowOff>
        </xdr:from>
        <xdr:to>
          <xdr:col>5</xdr:col>
          <xdr:colOff>314325</xdr:colOff>
          <xdr:row>157</xdr:row>
          <xdr:rowOff>161925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163</xdr:row>
          <xdr:rowOff>161925</xdr:rowOff>
        </xdr:from>
        <xdr:to>
          <xdr:col>4</xdr:col>
          <xdr:colOff>323850</xdr:colOff>
          <xdr:row>164</xdr:row>
          <xdr:rowOff>152400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xmlns="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163</xdr:row>
          <xdr:rowOff>152400</xdr:rowOff>
        </xdr:from>
        <xdr:to>
          <xdr:col>5</xdr:col>
          <xdr:colOff>342900</xdr:colOff>
          <xdr:row>164</xdr:row>
          <xdr:rowOff>142875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xmlns="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170</xdr:row>
          <xdr:rowOff>161925</xdr:rowOff>
        </xdr:from>
        <xdr:to>
          <xdr:col>4</xdr:col>
          <xdr:colOff>285750</xdr:colOff>
          <xdr:row>171</xdr:row>
          <xdr:rowOff>161925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xmlns="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170</xdr:row>
          <xdr:rowOff>152400</xdr:rowOff>
        </xdr:from>
        <xdr:to>
          <xdr:col>5</xdr:col>
          <xdr:colOff>342900</xdr:colOff>
          <xdr:row>171</xdr:row>
          <xdr:rowOff>152400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xmlns="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2575677</xdr:colOff>
      <xdr:row>182</xdr:row>
      <xdr:rowOff>172183</xdr:rowOff>
    </xdr:from>
    <xdr:to>
      <xdr:col>3</xdr:col>
      <xdr:colOff>2844662</xdr:colOff>
      <xdr:row>184</xdr:row>
      <xdr:rowOff>50963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4352" y="30490258"/>
          <a:ext cx="268985" cy="259780"/>
        </a:xfrm>
        <a:prstGeom prst="rect">
          <a:avLst/>
        </a:prstGeom>
      </xdr:spPr>
    </xdr:pic>
    <xdr:clientData/>
  </xdr:twoCellAnchor>
  <xdr:twoCellAnchor editAs="oneCell">
    <xdr:from>
      <xdr:col>3</xdr:col>
      <xdr:colOff>2560761</xdr:colOff>
      <xdr:row>184</xdr:row>
      <xdr:rowOff>168519</xdr:rowOff>
    </xdr:from>
    <xdr:to>
      <xdr:col>3</xdr:col>
      <xdr:colOff>2824369</xdr:colOff>
      <xdr:row>186</xdr:row>
      <xdr:rowOff>16676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89022" y="30855584"/>
          <a:ext cx="263608" cy="245722"/>
        </a:xfrm>
        <a:prstGeom prst="rect">
          <a:avLst/>
        </a:prstGeom>
      </xdr:spPr>
    </xdr:pic>
    <xdr:clientData/>
  </xdr:twoCellAnchor>
  <xdr:twoCellAnchor>
    <xdr:from>
      <xdr:col>5</xdr:col>
      <xdr:colOff>705970</xdr:colOff>
      <xdr:row>187</xdr:row>
      <xdr:rowOff>100853</xdr:rowOff>
    </xdr:from>
    <xdr:to>
      <xdr:col>7</xdr:col>
      <xdr:colOff>346519</xdr:colOff>
      <xdr:row>195</xdr:row>
      <xdr:rowOff>38100</xdr:rowOff>
    </xdr:to>
    <xdr:graphicFrame macro="">
      <xdr:nvGraphicFramePr>
        <xdr:cNvPr id="58" name="Diagramm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88</xdr:row>
          <xdr:rowOff>180975</xdr:rowOff>
        </xdr:from>
        <xdr:to>
          <xdr:col>3</xdr:col>
          <xdr:colOff>352425</xdr:colOff>
          <xdr:row>90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xmlns="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89</xdr:row>
          <xdr:rowOff>171450</xdr:rowOff>
        </xdr:from>
        <xdr:to>
          <xdr:col>3</xdr:col>
          <xdr:colOff>323850</xdr:colOff>
          <xdr:row>90</xdr:row>
          <xdr:rowOff>180975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xmlns="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90</xdr:row>
          <xdr:rowOff>171450</xdr:rowOff>
        </xdr:from>
        <xdr:to>
          <xdr:col>3</xdr:col>
          <xdr:colOff>361950</xdr:colOff>
          <xdr:row>92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xmlns="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91</xdr:row>
          <xdr:rowOff>180975</xdr:rowOff>
        </xdr:from>
        <xdr:to>
          <xdr:col>3</xdr:col>
          <xdr:colOff>333375</xdr:colOff>
          <xdr:row>93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xmlns="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92</xdr:row>
          <xdr:rowOff>190500</xdr:rowOff>
        </xdr:from>
        <xdr:to>
          <xdr:col>3</xdr:col>
          <xdr:colOff>390525</xdr:colOff>
          <xdr:row>93</xdr:row>
          <xdr:rowOff>180975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xmlns="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93</xdr:row>
          <xdr:rowOff>190500</xdr:rowOff>
        </xdr:from>
        <xdr:to>
          <xdr:col>3</xdr:col>
          <xdr:colOff>390525</xdr:colOff>
          <xdr:row>94</xdr:row>
          <xdr:rowOff>180975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xmlns="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88</xdr:row>
          <xdr:rowOff>190500</xdr:rowOff>
        </xdr:from>
        <xdr:to>
          <xdr:col>4</xdr:col>
          <xdr:colOff>333375</xdr:colOff>
          <xdr:row>90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xmlns="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89</xdr:row>
          <xdr:rowOff>180975</xdr:rowOff>
        </xdr:from>
        <xdr:to>
          <xdr:col>4</xdr:col>
          <xdr:colOff>323850</xdr:colOff>
          <xdr:row>90</xdr:row>
          <xdr:rowOff>180975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xmlns="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90</xdr:row>
          <xdr:rowOff>180975</xdr:rowOff>
        </xdr:from>
        <xdr:to>
          <xdr:col>4</xdr:col>
          <xdr:colOff>314325</xdr:colOff>
          <xdr:row>92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92</xdr:row>
          <xdr:rowOff>9525</xdr:rowOff>
        </xdr:from>
        <xdr:to>
          <xdr:col>4</xdr:col>
          <xdr:colOff>342900</xdr:colOff>
          <xdr:row>92</xdr:row>
          <xdr:rowOff>171450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122</xdr:row>
          <xdr:rowOff>38100</xdr:rowOff>
        </xdr:from>
        <xdr:to>
          <xdr:col>7</xdr:col>
          <xdr:colOff>85725</xdr:colOff>
          <xdr:row>176</xdr:row>
          <xdr:rowOff>47625</xdr:rowOff>
        </xdr:to>
        <xdr:sp macro="" textlink="">
          <xdr:nvSpPr>
            <xdr:cNvPr id="1098" name="Group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xmlns="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762000</xdr:colOff>
          <xdr:row>122</xdr:row>
          <xdr:rowOff>57150</xdr:rowOff>
        </xdr:from>
        <xdr:to>
          <xdr:col>6</xdr:col>
          <xdr:colOff>47625</xdr:colOff>
          <xdr:row>124</xdr:row>
          <xdr:rowOff>1243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xmlns="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762000</xdr:colOff>
          <xdr:row>128</xdr:row>
          <xdr:rowOff>19050</xdr:rowOff>
        </xdr:from>
        <xdr:to>
          <xdr:col>6</xdr:col>
          <xdr:colOff>19050</xdr:colOff>
          <xdr:row>130</xdr:row>
          <xdr:rowOff>38100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xmlns="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771525</xdr:colOff>
          <xdr:row>135</xdr:row>
          <xdr:rowOff>47625</xdr:rowOff>
        </xdr:from>
        <xdr:to>
          <xdr:col>6</xdr:col>
          <xdr:colOff>76200</xdr:colOff>
          <xdr:row>137</xdr:row>
          <xdr:rowOff>38100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xmlns="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781050</xdr:colOff>
          <xdr:row>142</xdr:row>
          <xdr:rowOff>38100</xdr:rowOff>
        </xdr:from>
        <xdr:to>
          <xdr:col>6</xdr:col>
          <xdr:colOff>28575</xdr:colOff>
          <xdr:row>144</xdr:row>
          <xdr:rowOff>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771525</xdr:colOff>
          <xdr:row>148</xdr:row>
          <xdr:rowOff>38100</xdr:rowOff>
        </xdr:from>
        <xdr:to>
          <xdr:col>6</xdr:col>
          <xdr:colOff>38100</xdr:colOff>
          <xdr:row>150</xdr:row>
          <xdr:rowOff>0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771525</xdr:colOff>
          <xdr:row>155</xdr:row>
          <xdr:rowOff>57150</xdr:rowOff>
        </xdr:from>
        <xdr:to>
          <xdr:col>6</xdr:col>
          <xdr:colOff>9525</xdr:colOff>
          <xdr:row>156</xdr:row>
          <xdr:rowOff>152400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xmlns="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781050</xdr:colOff>
          <xdr:row>162</xdr:row>
          <xdr:rowOff>57150</xdr:rowOff>
        </xdr:from>
        <xdr:to>
          <xdr:col>6</xdr:col>
          <xdr:colOff>28575</xdr:colOff>
          <xdr:row>164</xdr:row>
          <xdr:rowOff>9525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xmlns="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781050</xdr:colOff>
          <xdr:row>169</xdr:row>
          <xdr:rowOff>57150</xdr:rowOff>
        </xdr:from>
        <xdr:to>
          <xdr:col>6</xdr:col>
          <xdr:colOff>47625</xdr:colOff>
          <xdr:row>171</xdr:row>
          <xdr:rowOff>9525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66674</xdr:colOff>
      <xdr:row>122</xdr:row>
      <xdr:rowOff>38100</xdr:rowOff>
    </xdr:from>
    <xdr:to>
      <xdr:col>7</xdr:col>
      <xdr:colOff>95249</xdr:colOff>
      <xdr:row>176</xdr:row>
      <xdr:rowOff>57150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66699" y="20450175"/>
          <a:ext cx="6791325" cy="9048750"/>
        </a:xfrm>
        <a:prstGeom prst="rect">
          <a:avLst/>
        </a:prstGeom>
        <a:noFill/>
        <a:ln w="381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180</xdr:row>
          <xdr:rowOff>9525</xdr:rowOff>
        </xdr:from>
        <xdr:to>
          <xdr:col>2</xdr:col>
          <xdr:colOff>180975</xdr:colOff>
          <xdr:row>181</xdr:row>
          <xdr:rowOff>180975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xmlns="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181</xdr:row>
          <xdr:rowOff>114300</xdr:rowOff>
        </xdr:from>
        <xdr:to>
          <xdr:col>2</xdr:col>
          <xdr:colOff>238125</xdr:colOff>
          <xdr:row>182</xdr:row>
          <xdr:rowOff>161925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xmlns="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495300</xdr:colOff>
          <xdr:row>8</xdr:row>
          <xdr:rowOff>180975</xdr:rowOff>
        </xdr:from>
        <xdr:to>
          <xdr:col>6</xdr:col>
          <xdr:colOff>704850</xdr:colOff>
          <xdr:row>10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xmlns="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485775</xdr:colOff>
      <xdr:row>45</xdr:row>
      <xdr:rowOff>133350</xdr:rowOff>
    </xdr:from>
    <xdr:to>
      <xdr:col>12</xdr:col>
      <xdr:colOff>944217</xdr:colOff>
      <xdr:row>60</xdr:row>
      <xdr:rowOff>152400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33130</xdr:colOff>
      <xdr:row>65</xdr:row>
      <xdr:rowOff>182217</xdr:rowOff>
    </xdr:from>
    <xdr:to>
      <xdr:col>12</xdr:col>
      <xdr:colOff>637761</xdr:colOff>
      <xdr:row>108</xdr:row>
      <xdr:rowOff>99390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365125</xdr:colOff>
      <xdr:row>57</xdr:row>
      <xdr:rowOff>103909</xdr:rowOff>
    </xdr:from>
    <xdr:to>
      <xdr:col>6</xdr:col>
      <xdr:colOff>828387</xdr:colOff>
      <xdr:row>91</xdr:row>
      <xdr:rowOff>1443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639536</xdr:colOff>
      <xdr:row>473</xdr:row>
      <xdr:rowOff>0</xdr:rowOff>
    </xdr:from>
    <xdr:to>
      <xdr:col>13</xdr:col>
      <xdr:colOff>402666</xdr:colOff>
      <xdr:row>506</xdr:row>
      <xdr:rowOff>150729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</xdr:row>
          <xdr:rowOff>19050</xdr:rowOff>
        </xdr:from>
        <xdr:to>
          <xdr:col>0</xdr:col>
          <xdr:colOff>1524000</xdr:colOff>
          <xdr:row>5</xdr:row>
          <xdr:rowOff>266700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xmlns="" id="{00000000-0008-0000-09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</xdr:row>
          <xdr:rowOff>19050</xdr:rowOff>
        </xdr:from>
        <xdr:to>
          <xdr:col>2</xdr:col>
          <xdr:colOff>2009775</xdr:colOff>
          <xdr:row>5</xdr:row>
          <xdr:rowOff>266700</xdr:rowOff>
        </xdr:to>
        <xdr:sp macro="" textlink="">
          <xdr:nvSpPr>
            <xdr:cNvPr id="11266" name="Drop Down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xmlns="" id="{00000000-0008-0000-09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</xdr:row>
          <xdr:rowOff>28575</xdr:rowOff>
        </xdr:from>
        <xdr:to>
          <xdr:col>3</xdr:col>
          <xdr:colOff>1628775</xdr:colOff>
          <xdr:row>6</xdr:row>
          <xdr:rowOff>0</xdr:rowOff>
        </xdr:to>
        <xdr:sp macro="" textlink="">
          <xdr:nvSpPr>
            <xdr:cNvPr id="11299" name="Drop Down 35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xmlns="" id="{00000000-0008-0000-09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</xdr:row>
          <xdr:rowOff>28575</xdr:rowOff>
        </xdr:from>
        <xdr:to>
          <xdr:col>0</xdr:col>
          <xdr:colOff>1514475</xdr:colOff>
          <xdr:row>4</xdr:row>
          <xdr:rowOff>0</xdr:rowOff>
        </xdr:to>
        <xdr:sp macro="" textlink="">
          <xdr:nvSpPr>
            <xdr:cNvPr id="11316" name="Drop Down 52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xmlns="" id="{00000000-0008-0000-09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11</xdr:row>
          <xdr:rowOff>19050</xdr:rowOff>
        </xdr:from>
        <xdr:to>
          <xdr:col>0</xdr:col>
          <xdr:colOff>1504950</xdr:colOff>
          <xdr:row>12</xdr:row>
          <xdr:rowOff>0</xdr:rowOff>
        </xdr:to>
        <xdr:sp macro="" textlink="">
          <xdr:nvSpPr>
            <xdr:cNvPr id="11317" name="Drop Down 1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xmlns="" id="{00000000-0008-0000-09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</xdr:row>
          <xdr:rowOff>19050</xdr:rowOff>
        </xdr:from>
        <xdr:to>
          <xdr:col>0</xdr:col>
          <xdr:colOff>1504950</xdr:colOff>
          <xdr:row>10</xdr:row>
          <xdr:rowOff>266700</xdr:rowOff>
        </xdr:to>
        <xdr:sp macro="" textlink="">
          <xdr:nvSpPr>
            <xdr:cNvPr id="11318" name="Drop Down 1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xmlns="" id="{00000000-0008-0000-09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6</xdr:row>
          <xdr:rowOff>28575</xdr:rowOff>
        </xdr:from>
        <xdr:to>
          <xdr:col>0</xdr:col>
          <xdr:colOff>1514475</xdr:colOff>
          <xdr:row>7</xdr:row>
          <xdr:rowOff>0</xdr:rowOff>
        </xdr:to>
        <xdr:sp macro="" textlink="">
          <xdr:nvSpPr>
            <xdr:cNvPr id="11319" name="Drop Down 1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xmlns="" id="{00000000-0008-0000-09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7</xdr:row>
          <xdr:rowOff>28575</xdr:rowOff>
        </xdr:from>
        <xdr:to>
          <xdr:col>0</xdr:col>
          <xdr:colOff>1504950</xdr:colOff>
          <xdr:row>8</xdr:row>
          <xdr:rowOff>0</xdr:rowOff>
        </xdr:to>
        <xdr:sp macro="" textlink="">
          <xdr:nvSpPr>
            <xdr:cNvPr id="11320" name="Drop Down 1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xmlns="" id="{00000000-0008-0000-09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</xdr:row>
          <xdr:rowOff>19050</xdr:rowOff>
        </xdr:from>
        <xdr:to>
          <xdr:col>0</xdr:col>
          <xdr:colOff>1504950</xdr:colOff>
          <xdr:row>8</xdr:row>
          <xdr:rowOff>266700</xdr:rowOff>
        </xdr:to>
        <xdr:sp macro="" textlink="">
          <xdr:nvSpPr>
            <xdr:cNvPr id="11321" name="Dropdown 57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xmlns="" id="{00000000-0008-0000-09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21</xdr:row>
          <xdr:rowOff>0</xdr:rowOff>
        </xdr:from>
        <xdr:to>
          <xdr:col>0</xdr:col>
          <xdr:colOff>1504950</xdr:colOff>
          <xdr:row>21</xdr:row>
          <xdr:rowOff>247650</xdr:rowOff>
        </xdr:to>
        <xdr:sp macro="" textlink="">
          <xdr:nvSpPr>
            <xdr:cNvPr id="11322" name="Dropdown 58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xmlns="" id="{00000000-0008-0000-09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20</xdr:row>
          <xdr:rowOff>9525</xdr:rowOff>
        </xdr:from>
        <xdr:to>
          <xdr:col>0</xdr:col>
          <xdr:colOff>1504950</xdr:colOff>
          <xdr:row>20</xdr:row>
          <xdr:rowOff>257175</xdr:rowOff>
        </xdr:to>
        <xdr:sp macro="" textlink="">
          <xdr:nvSpPr>
            <xdr:cNvPr id="11323" name="Dropdown 59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xmlns="" id="{00000000-0008-0000-09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19</xdr:row>
          <xdr:rowOff>9525</xdr:rowOff>
        </xdr:from>
        <xdr:to>
          <xdr:col>0</xdr:col>
          <xdr:colOff>1504950</xdr:colOff>
          <xdr:row>19</xdr:row>
          <xdr:rowOff>257175</xdr:rowOff>
        </xdr:to>
        <xdr:sp macro="" textlink="">
          <xdr:nvSpPr>
            <xdr:cNvPr id="11324" name="Dropdown 60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xmlns="" id="{00000000-0008-0000-09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15</xdr:row>
          <xdr:rowOff>19050</xdr:rowOff>
        </xdr:from>
        <xdr:to>
          <xdr:col>0</xdr:col>
          <xdr:colOff>1504950</xdr:colOff>
          <xdr:row>15</xdr:row>
          <xdr:rowOff>266700</xdr:rowOff>
        </xdr:to>
        <xdr:sp macro="" textlink="">
          <xdr:nvSpPr>
            <xdr:cNvPr id="11325" name="Dropdown 61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xmlns="" id="{00000000-0008-0000-09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14</xdr:row>
          <xdr:rowOff>19050</xdr:rowOff>
        </xdr:from>
        <xdr:to>
          <xdr:col>0</xdr:col>
          <xdr:colOff>1504950</xdr:colOff>
          <xdr:row>14</xdr:row>
          <xdr:rowOff>266700</xdr:rowOff>
        </xdr:to>
        <xdr:sp macro="" textlink="">
          <xdr:nvSpPr>
            <xdr:cNvPr id="11326" name="Dropdown 62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xmlns="" id="{00000000-0008-0000-0900-00003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13</xdr:row>
          <xdr:rowOff>19050</xdr:rowOff>
        </xdr:from>
        <xdr:to>
          <xdr:col>0</xdr:col>
          <xdr:colOff>1504950</xdr:colOff>
          <xdr:row>13</xdr:row>
          <xdr:rowOff>266700</xdr:rowOff>
        </xdr:to>
        <xdr:sp macro="" textlink="">
          <xdr:nvSpPr>
            <xdr:cNvPr id="11327" name="Dropdown 63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xmlns="" id="{00000000-0008-0000-0900-00003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</xdr:row>
          <xdr:rowOff>19050</xdr:rowOff>
        </xdr:from>
        <xdr:to>
          <xdr:col>0</xdr:col>
          <xdr:colOff>1504950</xdr:colOff>
          <xdr:row>12</xdr:row>
          <xdr:rowOff>266700</xdr:rowOff>
        </xdr:to>
        <xdr:sp macro="" textlink="">
          <xdr:nvSpPr>
            <xdr:cNvPr id="11328" name="Dropdown 64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xmlns="" id="{00000000-0008-0000-0900-00004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9</xdr:row>
          <xdr:rowOff>19050</xdr:rowOff>
        </xdr:from>
        <xdr:to>
          <xdr:col>0</xdr:col>
          <xdr:colOff>1495425</xdr:colOff>
          <xdr:row>9</xdr:row>
          <xdr:rowOff>266700</xdr:rowOff>
        </xdr:to>
        <xdr:sp macro="" textlink="">
          <xdr:nvSpPr>
            <xdr:cNvPr id="11329" name="Dropdown 65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xmlns="" id="{00000000-0008-0000-0900-00004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18</xdr:row>
          <xdr:rowOff>9525</xdr:rowOff>
        </xdr:from>
        <xdr:to>
          <xdr:col>0</xdr:col>
          <xdr:colOff>1504950</xdr:colOff>
          <xdr:row>18</xdr:row>
          <xdr:rowOff>257175</xdr:rowOff>
        </xdr:to>
        <xdr:sp macro="" textlink="">
          <xdr:nvSpPr>
            <xdr:cNvPr id="11330" name="Dropdown 66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xmlns="" id="{00000000-0008-0000-09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9525</xdr:rowOff>
        </xdr:from>
        <xdr:to>
          <xdr:col>0</xdr:col>
          <xdr:colOff>1504950</xdr:colOff>
          <xdr:row>17</xdr:row>
          <xdr:rowOff>257175</xdr:rowOff>
        </xdr:to>
        <xdr:sp macro="" textlink="">
          <xdr:nvSpPr>
            <xdr:cNvPr id="11331" name="Dropdown 67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xmlns="" id="{00000000-0008-0000-09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16</xdr:row>
          <xdr:rowOff>19050</xdr:rowOff>
        </xdr:from>
        <xdr:to>
          <xdr:col>0</xdr:col>
          <xdr:colOff>1504950</xdr:colOff>
          <xdr:row>16</xdr:row>
          <xdr:rowOff>266700</xdr:rowOff>
        </xdr:to>
        <xdr:sp macro="" textlink="">
          <xdr:nvSpPr>
            <xdr:cNvPr id="11332" name="Dropdown 68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xmlns="" id="{00000000-0008-0000-0900-00004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9525</xdr:rowOff>
        </xdr:from>
        <xdr:to>
          <xdr:col>2</xdr:col>
          <xdr:colOff>1990725</xdr:colOff>
          <xdr:row>20</xdr:row>
          <xdr:rowOff>257175</xdr:rowOff>
        </xdr:to>
        <xdr:sp macro="" textlink="">
          <xdr:nvSpPr>
            <xdr:cNvPr id="11333" name="Drop Down 2" hidden="1">
              <a:extLst>
                <a:ext uri="{63B3BB69-23CF-44E3-9099-C40C66FF867C}">
                  <a14:compatExt spid="_x0000_s11333"/>
                </a:ext>
                <a:ext uri="{FF2B5EF4-FFF2-40B4-BE49-F238E27FC236}">
                  <a16:creationId xmlns:a16="http://schemas.microsoft.com/office/drawing/2014/main" xmlns="" id="{00000000-0008-0000-0900-00004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28575</xdr:rowOff>
        </xdr:from>
        <xdr:to>
          <xdr:col>2</xdr:col>
          <xdr:colOff>2000250</xdr:colOff>
          <xdr:row>7</xdr:row>
          <xdr:rowOff>0</xdr:rowOff>
        </xdr:to>
        <xdr:sp macro="" textlink="">
          <xdr:nvSpPr>
            <xdr:cNvPr id="11334" name="Drop Down 2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xmlns="" id="{00000000-0008-0000-0900-00004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9525</xdr:rowOff>
        </xdr:from>
        <xdr:to>
          <xdr:col>2</xdr:col>
          <xdr:colOff>1990725</xdr:colOff>
          <xdr:row>17</xdr:row>
          <xdr:rowOff>257175</xdr:rowOff>
        </xdr:to>
        <xdr:sp macro="" textlink="">
          <xdr:nvSpPr>
            <xdr:cNvPr id="11335" name="Drop Down 2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xmlns="" id="{00000000-0008-0000-0900-00004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9525</xdr:rowOff>
        </xdr:from>
        <xdr:to>
          <xdr:col>2</xdr:col>
          <xdr:colOff>1981200</xdr:colOff>
          <xdr:row>19</xdr:row>
          <xdr:rowOff>257175</xdr:rowOff>
        </xdr:to>
        <xdr:sp macro="" textlink="">
          <xdr:nvSpPr>
            <xdr:cNvPr id="11336" name="Drop Down 2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xmlns="" id="{00000000-0008-0000-0900-00004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9525</xdr:rowOff>
        </xdr:from>
        <xdr:to>
          <xdr:col>2</xdr:col>
          <xdr:colOff>1990725</xdr:colOff>
          <xdr:row>18</xdr:row>
          <xdr:rowOff>257175</xdr:rowOff>
        </xdr:to>
        <xdr:sp macro="" textlink="">
          <xdr:nvSpPr>
            <xdr:cNvPr id="11337" name="Drop Down 2" hidden="1">
              <a:extLst>
                <a:ext uri="{63B3BB69-23CF-44E3-9099-C40C66FF867C}">
                  <a14:compatExt spid="_x0000_s11337"/>
                </a:ext>
                <a:ext uri="{FF2B5EF4-FFF2-40B4-BE49-F238E27FC236}">
                  <a16:creationId xmlns:a16="http://schemas.microsoft.com/office/drawing/2014/main" xmlns="" id="{00000000-0008-0000-0900-00004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9525</xdr:rowOff>
        </xdr:from>
        <xdr:to>
          <xdr:col>2</xdr:col>
          <xdr:colOff>1990725</xdr:colOff>
          <xdr:row>16</xdr:row>
          <xdr:rowOff>257175</xdr:rowOff>
        </xdr:to>
        <xdr:sp macro="" textlink="">
          <xdr:nvSpPr>
            <xdr:cNvPr id="11338" name="Drop Down 2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xmlns="" id="{00000000-0008-0000-0900-00004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19050</xdr:rowOff>
        </xdr:from>
        <xdr:to>
          <xdr:col>2</xdr:col>
          <xdr:colOff>1990725</xdr:colOff>
          <xdr:row>15</xdr:row>
          <xdr:rowOff>266700</xdr:rowOff>
        </xdr:to>
        <xdr:sp macro="" textlink="">
          <xdr:nvSpPr>
            <xdr:cNvPr id="11339" name="Drop Down 2" hidden="1">
              <a:extLst>
                <a:ext uri="{63B3BB69-23CF-44E3-9099-C40C66FF867C}">
                  <a14:compatExt spid="_x0000_s11339"/>
                </a:ext>
                <a:ext uri="{FF2B5EF4-FFF2-40B4-BE49-F238E27FC236}">
                  <a16:creationId xmlns:a16="http://schemas.microsoft.com/office/drawing/2014/main" xmlns="" id="{00000000-0008-0000-0900-00004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19050</xdr:rowOff>
        </xdr:from>
        <xdr:to>
          <xdr:col>2</xdr:col>
          <xdr:colOff>2000250</xdr:colOff>
          <xdr:row>14</xdr:row>
          <xdr:rowOff>266700</xdr:rowOff>
        </xdr:to>
        <xdr:sp macro="" textlink="">
          <xdr:nvSpPr>
            <xdr:cNvPr id="11340" name="Drop Down 2" hidden="1">
              <a:extLst>
                <a:ext uri="{63B3BB69-23CF-44E3-9099-C40C66FF867C}">
                  <a14:compatExt spid="_x0000_s11340"/>
                </a:ext>
                <a:ext uri="{FF2B5EF4-FFF2-40B4-BE49-F238E27FC236}">
                  <a16:creationId xmlns:a16="http://schemas.microsoft.com/office/drawing/2014/main" xmlns="" id="{00000000-0008-0000-0900-00004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</xdr:row>
          <xdr:rowOff>19050</xdr:rowOff>
        </xdr:from>
        <xdr:to>
          <xdr:col>2</xdr:col>
          <xdr:colOff>2000250</xdr:colOff>
          <xdr:row>13</xdr:row>
          <xdr:rowOff>266700</xdr:rowOff>
        </xdr:to>
        <xdr:sp macro="" textlink="">
          <xdr:nvSpPr>
            <xdr:cNvPr id="11341" name="Drop Down 2" hidden="1">
              <a:extLst>
                <a:ext uri="{63B3BB69-23CF-44E3-9099-C40C66FF867C}">
                  <a14:compatExt spid="_x0000_s11341"/>
                </a:ext>
                <a:ext uri="{FF2B5EF4-FFF2-40B4-BE49-F238E27FC236}">
                  <a16:creationId xmlns:a16="http://schemas.microsoft.com/office/drawing/2014/main" xmlns="" id="{00000000-0008-0000-0900-00004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19050</xdr:rowOff>
        </xdr:from>
        <xdr:to>
          <xdr:col>2</xdr:col>
          <xdr:colOff>2000250</xdr:colOff>
          <xdr:row>12</xdr:row>
          <xdr:rowOff>266700</xdr:rowOff>
        </xdr:to>
        <xdr:sp macro="" textlink="">
          <xdr:nvSpPr>
            <xdr:cNvPr id="11342" name="Drop Down 2" hidden="1">
              <a:extLst>
                <a:ext uri="{63B3BB69-23CF-44E3-9099-C40C66FF867C}">
                  <a14:compatExt spid="_x0000_s11342"/>
                </a:ext>
                <a:ext uri="{FF2B5EF4-FFF2-40B4-BE49-F238E27FC236}">
                  <a16:creationId xmlns:a16="http://schemas.microsoft.com/office/drawing/2014/main" xmlns="" id="{00000000-0008-0000-0900-00004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28575</xdr:rowOff>
        </xdr:from>
        <xdr:to>
          <xdr:col>2</xdr:col>
          <xdr:colOff>2000250</xdr:colOff>
          <xdr:row>12</xdr:row>
          <xdr:rowOff>0</xdr:rowOff>
        </xdr:to>
        <xdr:sp macro="" textlink="">
          <xdr:nvSpPr>
            <xdr:cNvPr id="11343" name="Drop Down 2" hidden="1">
              <a:extLst>
                <a:ext uri="{63B3BB69-23CF-44E3-9099-C40C66FF867C}">
                  <a14:compatExt spid="_x0000_s11343"/>
                </a:ext>
                <a:ext uri="{FF2B5EF4-FFF2-40B4-BE49-F238E27FC236}">
                  <a16:creationId xmlns:a16="http://schemas.microsoft.com/office/drawing/2014/main" xmlns="" id="{00000000-0008-0000-0900-00004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2</xdr:col>
          <xdr:colOff>2000250</xdr:colOff>
          <xdr:row>11</xdr:row>
          <xdr:rowOff>0</xdr:rowOff>
        </xdr:to>
        <xdr:sp macro="" textlink="">
          <xdr:nvSpPr>
            <xdr:cNvPr id="11344" name="Drop Down 2" hidden="1">
              <a:extLst>
                <a:ext uri="{63B3BB69-23CF-44E3-9099-C40C66FF867C}">
                  <a14:compatExt spid="_x0000_s11344"/>
                </a:ext>
                <a:ext uri="{FF2B5EF4-FFF2-40B4-BE49-F238E27FC236}">
                  <a16:creationId xmlns:a16="http://schemas.microsoft.com/office/drawing/2014/main" xmlns="" id="{00000000-0008-0000-0900-00005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28575</xdr:rowOff>
        </xdr:from>
        <xdr:to>
          <xdr:col>2</xdr:col>
          <xdr:colOff>2000250</xdr:colOff>
          <xdr:row>10</xdr:row>
          <xdr:rowOff>0</xdr:rowOff>
        </xdr:to>
        <xdr:sp macro="" textlink="">
          <xdr:nvSpPr>
            <xdr:cNvPr id="11345" name="Drop Down 2" hidden="1">
              <a:extLst>
                <a:ext uri="{63B3BB69-23CF-44E3-9099-C40C66FF867C}">
                  <a14:compatExt spid="_x0000_s11345"/>
                </a:ext>
                <a:ext uri="{FF2B5EF4-FFF2-40B4-BE49-F238E27FC236}">
                  <a16:creationId xmlns:a16="http://schemas.microsoft.com/office/drawing/2014/main" xmlns="" id="{00000000-0008-0000-0900-00005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2</xdr:col>
          <xdr:colOff>2000250</xdr:colOff>
          <xdr:row>9</xdr:row>
          <xdr:rowOff>0</xdr:rowOff>
        </xdr:to>
        <xdr:sp macro="" textlink="">
          <xdr:nvSpPr>
            <xdr:cNvPr id="11346" name="Drop Down 2" hidden="1">
              <a:extLst>
                <a:ext uri="{63B3BB69-23CF-44E3-9099-C40C66FF867C}">
                  <a14:compatExt spid="_x0000_s11346"/>
                </a:ext>
                <a:ext uri="{FF2B5EF4-FFF2-40B4-BE49-F238E27FC236}">
                  <a16:creationId xmlns:a16="http://schemas.microsoft.com/office/drawing/2014/main" xmlns="" id="{00000000-0008-0000-0900-00005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28575</xdr:rowOff>
        </xdr:from>
        <xdr:to>
          <xdr:col>2</xdr:col>
          <xdr:colOff>2000250</xdr:colOff>
          <xdr:row>8</xdr:row>
          <xdr:rowOff>0</xdr:rowOff>
        </xdr:to>
        <xdr:sp macro="" textlink="">
          <xdr:nvSpPr>
            <xdr:cNvPr id="11347" name="Drop Down 2" hidden="1">
              <a:extLst>
                <a:ext uri="{63B3BB69-23CF-44E3-9099-C40C66FF867C}">
                  <a14:compatExt spid="_x0000_s11347"/>
                </a:ext>
                <a:ext uri="{FF2B5EF4-FFF2-40B4-BE49-F238E27FC236}">
                  <a16:creationId xmlns:a16="http://schemas.microsoft.com/office/drawing/2014/main" xmlns="" id="{00000000-0008-0000-0900-00005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0</xdr:rowOff>
        </xdr:from>
        <xdr:to>
          <xdr:col>2</xdr:col>
          <xdr:colOff>1990725</xdr:colOff>
          <xdr:row>21</xdr:row>
          <xdr:rowOff>247650</xdr:rowOff>
        </xdr:to>
        <xdr:sp macro="" textlink="">
          <xdr:nvSpPr>
            <xdr:cNvPr id="11349" name="Drop Down 2" hidden="1">
              <a:extLst>
                <a:ext uri="{63B3BB69-23CF-44E3-9099-C40C66FF867C}">
                  <a14:compatExt spid="_x0000_s11349"/>
                </a:ext>
                <a:ext uri="{FF2B5EF4-FFF2-40B4-BE49-F238E27FC236}">
                  <a16:creationId xmlns:a16="http://schemas.microsoft.com/office/drawing/2014/main" xmlns="" id="{00000000-0008-0000-0900-00005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38100</xdr:rowOff>
        </xdr:from>
        <xdr:to>
          <xdr:col>3</xdr:col>
          <xdr:colOff>1609725</xdr:colOff>
          <xdr:row>22</xdr:row>
          <xdr:rowOff>9525</xdr:rowOff>
        </xdr:to>
        <xdr:sp macro="" textlink="">
          <xdr:nvSpPr>
            <xdr:cNvPr id="11365" name="Drop Down 35" hidden="1">
              <a:extLst>
                <a:ext uri="{63B3BB69-23CF-44E3-9099-C40C66FF867C}">
                  <a14:compatExt spid="_x0000_s11365"/>
                </a:ext>
                <a:ext uri="{FF2B5EF4-FFF2-40B4-BE49-F238E27FC236}">
                  <a16:creationId xmlns:a16="http://schemas.microsoft.com/office/drawing/2014/main" xmlns="" id="{00000000-0008-0000-0900-00006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20</xdr:row>
          <xdr:rowOff>0</xdr:rowOff>
        </xdr:from>
        <xdr:to>
          <xdr:col>3</xdr:col>
          <xdr:colOff>1609725</xdr:colOff>
          <xdr:row>20</xdr:row>
          <xdr:rowOff>247650</xdr:rowOff>
        </xdr:to>
        <xdr:sp macro="" textlink="">
          <xdr:nvSpPr>
            <xdr:cNvPr id="11366" name="Drop Down 35" hidden="1">
              <a:extLst>
                <a:ext uri="{63B3BB69-23CF-44E3-9099-C40C66FF867C}">
                  <a14:compatExt spid="_x0000_s11366"/>
                </a:ext>
                <a:ext uri="{FF2B5EF4-FFF2-40B4-BE49-F238E27FC236}">
                  <a16:creationId xmlns:a16="http://schemas.microsoft.com/office/drawing/2014/main" xmlns="" id="{00000000-0008-0000-0900-00006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9525</xdr:rowOff>
        </xdr:from>
        <xdr:to>
          <xdr:col>3</xdr:col>
          <xdr:colOff>1619250</xdr:colOff>
          <xdr:row>15</xdr:row>
          <xdr:rowOff>257175</xdr:rowOff>
        </xdr:to>
        <xdr:sp macro="" textlink="">
          <xdr:nvSpPr>
            <xdr:cNvPr id="11367" name="Drop Down 35" hidden="1">
              <a:extLst>
                <a:ext uri="{63B3BB69-23CF-44E3-9099-C40C66FF867C}">
                  <a14:compatExt spid="_x0000_s11367"/>
                </a:ext>
                <a:ext uri="{FF2B5EF4-FFF2-40B4-BE49-F238E27FC236}">
                  <a16:creationId xmlns:a16="http://schemas.microsoft.com/office/drawing/2014/main" xmlns="" id="{00000000-0008-0000-0900-00006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9525</xdr:rowOff>
        </xdr:from>
        <xdr:to>
          <xdr:col>3</xdr:col>
          <xdr:colOff>1619250</xdr:colOff>
          <xdr:row>14</xdr:row>
          <xdr:rowOff>257175</xdr:rowOff>
        </xdr:to>
        <xdr:sp macro="" textlink="">
          <xdr:nvSpPr>
            <xdr:cNvPr id="11368" name="Drop Down 35" hidden="1">
              <a:extLst>
                <a:ext uri="{63B3BB69-23CF-44E3-9099-C40C66FF867C}">
                  <a14:compatExt spid="_x0000_s11368"/>
                </a:ext>
                <a:ext uri="{FF2B5EF4-FFF2-40B4-BE49-F238E27FC236}">
                  <a16:creationId xmlns:a16="http://schemas.microsoft.com/office/drawing/2014/main" xmlns="" id="{00000000-0008-0000-0900-00006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13</xdr:row>
          <xdr:rowOff>9525</xdr:rowOff>
        </xdr:from>
        <xdr:to>
          <xdr:col>3</xdr:col>
          <xdr:colOff>1628775</xdr:colOff>
          <xdr:row>13</xdr:row>
          <xdr:rowOff>257175</xdr:rowOff>
        </xdr:to>
        <xdr:sp macro="" textlink="">
          <xdr:nvSpPr>
            <xdr:cNvPr id="11369" name="Drop Down 35" hidden="1">
              <a:extLst>
                <a:ext uri="{63B3BB69-23CF-44E3-9099-C40C66FF867C}">
                  <a14:compatExt spid="_x0000_s11369"/>
                </a:ext>
                <a:ext uri="{FF2B5EF4-FFF2-40B4-BE49-F238E27FC236}">
                  <a16:creationId xmlns:a16="http://schemas.microsoft.com/office/drawing/2014/main" xmlns="" id="{00000000-0008-0000-0900-00006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9525</xdr:rowOff>
        </xdr:from>
        <xdr:to>
          <xdr:col>3</xdr:col>
          <xdr:colOff>1628775</xdr:colOff>
          <xdr:row>12</xdr:row>
          <xdr:rowOff>257175</xdr:rowOff>
        </xdr:to>
        <xdr:sp macro="" textlink="">
          <xdr:nvSpPr>
            <xdr:cNvPr id="11370" name="Drop Down 35" hidden="1">
              <a:extLst>
                <a:ext uri="{63B3BB69-23CF-44E3-9099-C40C66FF867C}">
                  <a14:compatExt spid="_x0000_s11370"/>
                </a:ext>
                <a:ext uri="{FF2B5EF4-FFF2-40B4-BE49-F238E27FC236}">
                  <a16:creationId xmlns:a16="http://schemas.microsoft.com/office/drawing/2014/main" xmlns="" id="{00000000-0008-0000-0900-00006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9525</xdr:rowOff>
        </xdr:from>
        <xdr:to>
          <xdr:col>3</xdr:col>
          <xdr:colOff>1628775</xdr:colOff>
          <xdr:row>11</xdr:row>
          <xdr:rowOff>257175</xdr:rowOff>
        </xdr:to>
        <xdr:sp macro="" textlink="">
          <xdr:nvSpPr>
            <xdr:cNvPr id="11371" name="Drop Down 35" hidden="1">
              <a:extLst>
                <a:ext uri="{63B3BB69-23CF-44E3-9099-C40C66FF867C}">
                  <a14:compatExt spid="_x0000_s11371"/>
                </a:ext>
                <a:ext uri="{FF2B5EF4-FFF2-40B4-BE49-F238E27FC236}">
                  <a16:creationId xmlns:a16="http://schemas.microsoft.com/office/drawing/2014/main" xmlns="" id="{00000000-0008-0000-0900-00006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</xdr:row>
          <xdr:rowOff>9525</xdr:rowOff>
        </xdr:from>
        <xdr:to>
          <xdr:col>3</xdr:col>
          <xdr:colOff>1628775</xdr:colOff>
          <xdr:row>10</xdr:row>
          <xdr:rowOff>257175</xdr:rowOff>
        </xdr:to>
        <xdr:sp macro="" textlink="">
          <xdr:nvSpPr>
            <xdr:cNvPr id="11372" name="Drop Down 35" hidden="1">
              <a:extLst>
                <a:ext uri="{63B3BB69-23CF-44E3-9099-C40C66FF867C}">
                  <a14:compatExt spid="_x0000_s11372"/>
                </a:ext>
                <a:ext uri="{FF2B5EF4-FFF2-40B4-BE49-F238E27FC236}">
                  <a16:creationId xmlns:a16="http://schemas.microsoft.com/office/drawing/2014/main" xmlns="" id="{00000000-0008-0000-0900-00006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</xdr:row>
          <xdr:rowOff>9525</xdr:rowOff>
        </xdr:from>
        <xdr:to>
          <xdr:col>3</xdr:col>
          <xdr:colOff>1628775</xdr:colOff>
          <xdr:row>9</xdr:row>
          <xdr:rowOff>257175</xdr:rowOff>
        </xdr:to>
        <xdr:sp macro="" textlink="">
          <xdr:nvSpPr>
            <xdr:cNvPr id="11373" name="Drop Down 35" hidden="1">
              <a:extLst>
                <a:ext uri="{63B3BB69-23CF-44E3-9099-C40C66FF867C}">
                  <a14:compatExt spid="_x0000_s11373"/>
                </a:ext>
                <a:ext uri="{FF2B5EF4-FFF2-40B4-BE49-F238E27FC236}">
                  <a16:creationId xmlns:a16="http://schemas.microsoft.com/office/drawing/2014/main" xmlns="" id="{00000000-0008-0000-0900-00006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</xdr:row>
          <xdr:rowOff>9525</xdr:rowOff>
        </xdr:from>
        <xdr:to>
          <xdr:col>3</xdr:col>
          <xdr:colOff>1628775</xdr:colOff>
          <xdr:row>8</xdr:row>
          <xdr:rowOff>257175</xdr:rowOff>
        </xdr:to>
        <xdr:sp macro="" textlink="">
          <xdr:nvSpPr>
            <xdr:cNvPr id="11374" name="Drop Down 35" hidden="1">
              <a:extLst>
                <a:ext uri="{63B3BB69-23CF-44E3-9099-C40C66FF867C}">
                  <a14:compatExt spid="_x0000_s11374"/>
                </a:ext>
                <a:ext uri="{FF2B5EF4-FFF2-40B4-BE49-F238E27FC236}">
                  <a16:creationId xmlns:a16="http://schemas.microsoft.com/office/drawing/2014/main" xmlns="" id="{00000000-0008-0000-0900-00006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</xdr:row>
          <xdr:rowOff>9525</xdr:rowOff>
        </xdr:from>
        <xdr:to>
          <xdr:col>3</xdr:col>
          <xdr:colOff>1628775</xdr:colOff>
          <xdr:row>7</xdr:row>
          <xdr:rowOff>257175</xdr:rowOff>
        </xdr:to>
        <xdr:sp macro="" textlink="">
          <xdr:nvSpPr>
            <xdr:cNvPr id="11375" name="Drop Down 35" hidden="1">
              <a:extLst>
                <a:ext uri="{63B3BB69-23CF-44E3-9099-C40C66FF867C}">
                  <a14:compatExt spid="_x0000_s11375"/>
                </a:ext>
                <a:ext uri="{FF2B5EF4-FFF2-40B4-BE49-F238E27FC236}">
                  <a16:creationId xmlns:a16="http://schemas.microsoft.com/office/drawing/2014/main" xmlns="" id="{00000000-0008-0000-0900-00006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</xdr:row>
          <xdr:rowOff>19050</xdr:rowOff>
        </xdr:from>
        <xdr:to>
          <xdr:col>3</xdr:col>
          <xdr:colOff>1628775</xdr:colOff>
          <xdr:row>6</xdr:row>
          <xdr:rowOff>266700</xdr:rowOff>
        </xdr:to>
        <xdr:sp macro="" textlink="">
          <xdr:nvSpPr>
            <xdr:cNvPr id="11376" name="Drop Down 35" hidden="1">
              <a:extLst>
                <a:ext uri="{63B3BB69-23CF-44E3-9099-C40C66FF867C}">
                  <a14:compatExt spid="_x0000_s11376"/>
                </a:ext>
                <a:ext uri="{FF2B5EF4-FFF2-40B4-BE49-F238E27FC236}">
                  <a16:creationId xmlns:a16="http://schemas.microsoft.com/office/drawing/2014/main" xmlns="" id="{00000000-0008-0000-0900-00007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0</xdr:rowOff>
        </xdr:from>
        <xdr:to>
          <xdr:col>3</xdr:col>
          <xdr:colOff>1609725</xdr:colOff>
          <xdr:row>17</xdr:row>
          <xdr:rowOff>247650</xdr:rowOff>
        </xdr:to>
        <xdr:sp macro="" textlink="">
          <xdr:nvSpPr>
            <xdr:cNvPr id="11377" name="Drop Down 35" hidden="1">
              <a:extLst>
                <a:ext uri="{63B3BB69-23CF-44E3-9099-C40C66FF867C}">
                  <a14:compatExt spid="_x0000_s11377"/>
                </a:ext>
                <a:ext uri="{FF2B5EF4-FFF2-40B4-BE49-F238E27FC236}">
                  <a16:creationId xmlns:a16="http://schemas.microsoft.com/office/drawing/2014/main" xmlns="" id="{00000000-0008-0000-0900-00007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18</xdr:row>
          <xdr:rowOff>0</xdr:rowOff>
        </xdr:from>
        <xdr:to>
          <xdr:col>3</xdr:col>
          <xdr:colOff>1609725</xdr:colOff>
          <xdr:row>18</xdr:row>
          <xdr:rowOff>247650</xdr:rowOff>
        </xdr:to>
        <xdr:sp macro="" textlink="">
          <xdr:nvSpPr>
            <xdr:cNvPr id="11378" name="Drop Down 35" hidden="1">
              <a:extLst>
                <a:ext uri="{63B3BB69-23CF-44E3-9099-C40C66FF867C}">
                  <a14:compatExt spid="_x0000_s11378"/>
                </a:ext>
                <a:ext uri="{FF2B5EF4-FFF2-40B4-BE49-F238E27FC236}">
                  <a16:creationId xmlns:a16="http://schemas.microsoft.com/office/drawing/2014/main" xmlns="" id="{00000000-0008-0000-0900-00007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3</xdr:col>
          <xdr:colOff>1609725</xdr:colOff>
          <xdr:row>16</xdr:row>
          <xdr:rowOff>257175</xdr:rowOff>
        </xdr:to>
        <xdr:sp macro="" textlink="">
          <xdr:nvSpPr>
            <xdr:cNvPr id="11379" name="Drop Down 35" hidden="1">
              <a:extLst>
                <a:ext uri="{63B3BB69-23CF-44E3-9099-C40C66FF867C}">
                  <a14:compatExt spid="_x0000_s11379"/>
                </a:ext>
                <a:ext uri="{FF2B5EF4-FFF2-40B4-BE49-F238E27FC236}">
                  <a16:creationId xmlns:a16="http://schemas.microsoft.com/office/drawing/2014/main" xmlns="" id="{00000000-0008-0000-0900-00007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0</xdr:rowOff>
        </xdr:from>
        <xdr:to>
          <xdr:col>3</xdr:col>
          <xdr:colOff>1609725</xdr:colOff>
          <xdr:row>19</xdr:row>
          <xdr:rowOff>247650</xdr:rowOff>
        </xdr:to>
        <xdr:sp macro="" textlink="">
          <xdr:nvSpPr>
            <xdr:cNvPr id="11380" name="Drop Down 35" hidden="1">
              <a:extLst>
                <a:ext uri="{63B3BB69-23CF-44E3-9099-C40C66FF867C}">
                  <a14:compatExt spid="_x0000_s11380"/>
                </a:ext>
                <a:ext uri="{FF2B5EF4-FFF2-40B4-BE49-F238E27FC236}">
                  <a16:creationId xmlns:a16="http://schemas.microsoft.com/office/drawing/2014/main" xmlns="" id="{00000000-0008-0000-0900-00007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23</xdr:row>
          <xdr:rowOff>9525</xdr:rowOff>
        </xdr:from>
        <xdr:to>
          <xdr:col>2</xdr:col>
          <xdr:colOff>2038350</xdr:colOff>
          <xdr:row>24</xdr:row>
          <xdr:rowOff>9525</xdr:rowOff>
        </xdr:to>
        <xdr:sp macro="" textlink="">
          <xdr:nvSpPr>
            <xdr:cNvPr id="11381" name="Dropdown 117" hidden="1">
              <a:extLst>
                <a:ext uri="{63B3BB69-23CF-44E3-9099-C40C66FF867C}">
                  <a14:compatExt spid="_x0000_s11381"/>
                </a:ext>
                <a:ext uri="{FF2B5EF4-FFF2-40B4-BE49-F238E27FC236}">
                  <a16:creationId xmlns:a16="http://schemas.microsoft.com/office/drawing/2014/main" xmlns="" id="{00000000-0008-0000-0900-00007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26</xdr:row>
          <xdr:rowOff>9525</xdr:rowOff>
        </xdr:from>
        <xdr:to>
          <xdr:col>2</xdr:col>
          <xdr:colOff>2028825</xdr:colOff>
          <xdr:row>27</xdr:row>
          <xdr:rowOff>9525</xdr:rowOff>
        </xdr:to>
        <xdr:sp macro="" textlink="">
          <xdr:nvSpPr>
            <xdr:cNvPr id="11383" name="Dropdown 119" hidden="1">
              <a:extLst>
                <a:ext uri="{63B3BB69-23CF-44E3-9099-C40C66FF867C}">
                  <a14:compatExt spid="_x0000_s11383"/>
                </a:ext>
                <a:ext uri="{FF2B5EF4-FFF2-40B4-BE49-F238E27FC236}">
                  <a16:creationId xmlns:a16="http://schemas.microsoft.com/office/drawing/2014/main" xmlns="" id="{00000000-0008-0000-0900-00007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28575</xdr:rowOff>
        </xdr:from>
        <xdr:to>
          <xdr:col>2</xdr:col>
          <xdr:colOff>2000250</xdr:colOff>
          <xdr:row>10</xdr:row>
          <xdr:rowOff>0</xdr:rowOff>
        </xdr:to>
        <xdr:sp macro="" textlink="">
          <xdr:nvSpPr>
            <xdr:cNvPr id="11400" name="Drop Down 136" hidden="1">
              <a:extLst>
                <a:ext uri="{63B3BB69-23CF-44E3-9099-C40C66FF867C}">
                  <a14:compatExt spid="_x0000_s11400"/>
                </a:ext>
                <a:ext uri="{FF2B5EF4-FFF2-40B4-BE49-F238E27FC236}">
                  <a16:creationId xmlns:a16="http://schemas.microsoft.com/office/drawing/2014/main" xmlns="" id="{00000000-0008-0000-0900-00008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2</xdr:col>
          <xdr:colOff>2000250</xdr:colOff>
          <xdr:row>11</xdr:row>
          <xdr:rowOff>0</xdr:rowOff>
        </xdr:to>
        <xdr:sp macro="" textlink="">
          <xdr:nvSpPr>
            <xdr:cNvPr id="11401" name="Drop Down 137" hidden="1">
              <a:extLst>
                <a:ext uri="{63B3BB69-23CF-44E3-9099-C40C66FF867C}">
                  <a14:compatExt spid="_x0000_s11401"/>
                </a:ext>
                <a:ext uri="{FF2B5EF4-FFF2-40B4-BE49-F238E27FC236}">
                  <a16:creationId xmlns:a16="http://schemas.microsoft.com/office/drawing/2014/main" xmlns="" id="{00000000-0008-0000-0900-00008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28575</xdr:rowOff>
        </xdr:from>
        <xdr:to>
          <xdr:col>2</xdr:col>
          <xdr:colOff>2000250</xdr:colOff>
          <xdr:row>12</xdr:row>
          <xdr:rowOff>0</xdr:rowOff>
        </xdr:to>
        <xdr:sp macro="" textlink="">
          <xdr:nvSpPr>
            <xdr:cNvPr id="11402" name="Drop Down 138" hidden="1">
              <a:extLst>
                <a:ext uri="{63B3BB69-23CF-44E3-9099-C40C66FF867C}">
                  <a14:compatExt spid="_x0000_s11402"/>
                </a:ext>
                <a:ext uri="{FF2B5EF4-FFF2-40B4-BE49-F238E27FC236}">
                  <a16:creationId xmlns:a16="http://schemas.microsoft.com/office/drawing/2014/main" xmlns="" id="{00000000-0008-0000-0900-00008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28575</xdr:rowOff>
        </xdr:from>
        <xdr:to>
          <xdr:col>2</xdr:col>
          <xdr:colOff>2000250</xdr:colOff>
          <xdr:row>13</xdr:row>
          <xdr:rowOff>0</xdr:rowOff>
        </xdr:to>
        <xdr:sp macro="" textlink="">
          <xdr:nvSpPr>
            <xdr:cNvPr id="11403" name="Drop Down 139" hidden="1">
              <a:extLst>
                <a:ext uri="{63B3BB69-23CF-44E3-9099-C40C66FF867C}">
                  <a14:compatExt spid="_x0000_s11403"/>
                </a:ext>
                <a:ext uri="{FF2B5EF4-FFF2-40B4-BE49-F238E27FC236}">
                  <a16:creationId xmlns:a16="http://schemas.microsoft.com/office/drawing/2014/main" xmlns="" id="{00000000-0008-0000-0900-00008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13</xdr:row>
          <xdr:rowOff>28575</xdr:rowOff>
        </xdr:from>
        <xdr:to>
          <xdr:col>2</xdr:col>
          <xdr:colOff>2000250</xdr:colOff>
          <xdr:row>14</xdr:row>
          <xdr:rowOff>0</xdr:rowOff>
        </xdr:to>
        <xdr:sp macro="" textlink="">
          <xdr:nvSpPr>
            <xdr:cNvPr id="11404" name="Drop Down 140" hidden="1">
              <a:extLst>
                <a:ext uri="{63B3BB69-23CF-44E3-9099-C40C66FF867C}">
                  <a14:compatExt spid="_x0000_s11404"/>
                </a:ext>
                <a:ext uri="{FF2B5EF4-FFF2-40B4-BE49-F238E27FC236}">
                  <a16:creationId xmlns:a16="http://schemas.microsoft.com/office/drawing/2014/main" xmlns="" id="{00000000-0008-0000-0900-00008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28575</xdr:rowOff>
        </xdr:from>
        <xdr:to>
          <xdr:col>2</xdr:col>
          <xdr:colOff>2000250</xdr:colOff>
          <xdr:row>15</xdr:row>
          <xdr:rowOff>0</xdr:rowOff>
        </xdr:to>
        <xdr:sp macro="" textlink="">
          <xdr:nvSpPr>
            <xdr:cNvPr id="11405" name="Drop Down 141" hidden="1">
              <a:extLst>
                <a:ext uri="{63B3BB69-23CF-44E3-9099-C40C66FF867C}">
                  <a14:compatExt spid="_x0000_s11405"/>
                </a:ext>
                <a:ext uri="{FF2B5EF4-FFF2-40B4-BE49-F238E27FC236}">
                  <a16:creationId xmlns:a16="http://schemas.microsoft.com/office/drawing/2014/main" xmlns="" id="{00000000-0008-0000-0900-00008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15</xdr:row>
          <xdr:rowOff>28575</xdr:rowOff>
        </xdr:from>
        <xdr:to>
          <xdr:col>2</xdr:col>
          <xdr:colOff>2000250</xdr:colOff>
          <xdr:row>16</xdr:row>
          <xdr:rowOff>0</xdr:rowOff>
        </xdr:to>
        <xdr:sp macro="" textlink="">
          <xdr:nvSpPr>
            <xdr:cNvPr id="11406" name="Drop Down 142" hidden="1">
              <a:extLst>
                <a:ext uri="{63B3BB69-23CF-44E3-9099-C40C66FF867C}">
                  <a14:compatExt spid="_x0000_s11406"/>
                </a:ext>
                <a:ext uri="{FF2B5EF4-FFF2-40B4-BE49-F238E27FC236}">
                  <a16:creationId xmlns:a16="http://schemas.microsoft.com/office/drawing/2014/main" xmlns="" id="{00000000-0008-0000-0900-00008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28575</xdr:rowOff>
        </xdr:from>
        <xdr:to>
          <xdr:col>2</xdr:col>
          <xdr:colOff>2000250</xdr:colOff>
          <xdr:row>17</xdr:row>
          <xdr:rowOff>0</xdr:rowOff>
        </xdr:to>
        <xdr:sp macro="" textlink="">
          <xdr:nvSpPr>
            <xdr:cNvPr id="11407" name="Drop Down 143" hidden="1">
              <a:extLst>
                <a:ext uri="{63B3BB69-23CF-44E3-9099-C40C66FF867C}">
                  <a14:compatExt spid="_x0000_s11407"/>
                </a:ext>
                <a:ext uri="{FF2B5EF4-FFF2-40B4-BE49-F238E27FC236}">
                  <a16:creationId xmlns:a16="http://schemas.microsoft.com/office/drawing/2014/main" xmlns="" id="{00000000-0008-0000-0900-00008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17</xdr:row>
          <xdr:rowOff>28575</xdr:rowOff>
        </xdr:from>
        <xdr:to>
          <xdr:col>2</xdr:col>
          <xdr:colOff>2000250</xdr:colOff>
          <xdr:row>18</xdr:row>
          <xdr:rowOff>0</xdr:rowOff>
        </xdr:to>
        <xdr:sp macro="" textlink="">
          <xdr:nvSpPr>
            <xdr:cNvPr id="11408" name="Drop Down 144" hidden="1">
              <a:extLst>
                <a:ext uri="{63B3BB69-23CF-44E3-9099-C40C66FF867C}">
                  <a14:compatExt spid="_x0000_s11408"/>
                </a:ext>
                <a:ext uri="{FF2B5EF4-FFF2-40B4-BE49-F238E27FC236}">
                  <a16:creationId xmlns:a16="http://schemas.microsoft.com/office/drawing/2014/main" xmlns="" id="{00000000-0008-0000-0900-00009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</xdr:row>
          <xdr:rowOff>28575</xdr:rowOff>
        </xdr:from>
        <xdr:to>
          <xdr:col>2</xdr:col>
          <xdr:colOff>2000250</xdr:colOff>
          <xdr:row>19</xdr:row>
          <xdr:rowOff>0</xdr:rowOff>
        </xdr:to>
        <xdr:sp macro="" textlink="">
          <xdr:nvSpPr>
            <xdr:cNvPr id="11409" name="Drop Down 145" hidden="1">
              <a:extLst>
                <a:ext uri="{63B3BB69-23CF-44E3-9099-C40C66FF867C}">
                  <a14:compatExt spid="_x0000_s11409"/>
                </a:ext>
                <a:ext uri="{FF2B5EF4-FFF2-40B4-BE49-F238E27FC236}">
                  <a16:creationId xmlns:a16="http://schemas.microsoft.com/office/drawing/2014/main" xmlns="" id="{00000000-0008-0000-0900-00009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</xdr:row>
          <xdr:rowOff>28575</xdr:rowOff>
        </xdr:from>
        <xdr:to>
          <xdr:col>2</xdr:col>
          <xdr:colOff>2000250</xdr:colOff>
          <xdr:row>20</xdr:row>
          <xdr:rowOff>0</xdr:rowOff>
        </xdr:to>
        <xdr:sp macro="" textlink="">
          <xdr:nvSpPr>
            <xdr:cNvPr id="11410" name="Drop Down 146" hidden="1">
              <a:extLst>
                <a:ext uri="{63B3BB69-23CF-44E3-9099-C40C66FF867C}">
                  <a14:compatExt spid="_x0000_s11410"/>
                </a:ext>
                <a:ext uri="{FF2B5EF4-FFF2-40B4-BE49-F238E27FC236}">
                  <a16:creationId xmlns:a16="http://schemas.microsoft.com/office/drawing/2014/main" xmlns="" id="{00000000-0008-0000-0900-00009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28575</xdr:rowOff>
        </xdr:from>
        <xdr:to>
          <xdr:col>2</xdr:col>
          <xdr:colOff>2000250</xdr:colOff>
          <xdr:row>21</xdr:row>
          <xdr:rowOff>0</xdr:rowOff>
        </xdr:to>
        <xdr:sp macro="" textlink="">
          <xdr:nvSpPr>
            <xdr:cNvPr id="11411" name="Drop Down 147" hidden="1">
              <a:extLst>
                <a:ext uri="{63B3BB69-23CF-44E3-9099-C40C66FF867C}">
                  <a14:compatExt spid="_x0000_s11411"/>
                </a:ext>
                <a:ext uri="{FF2B5EF4-FFF2-40B4-BE49-F238E27FC236}">
                  <a16:creationId xmlns:a16="http://schemas.microsoft.com/office/drawing/2014/main" xmlns="" id="{00000000-0008-0000-0900-00009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28575</xdr:rowOff>
        </xdr:from>
        <xdr:to>
          <xdr:col>2</xdr:col>
          <xdr:colOff>2000250</xdr:colOff>
          <xdr:row>22</xdr:row>
          <xdr:rowOff>0</xdr:rowOff>
        </xdr:to>
        <xdr:sp macro="" textlink="">
          <xdr:nvSpPr>
            <xdr:cNvPr id="11412" name="Drop Down 148" hidden="1">
              <a:extLst>
                <a:ext uri="{63B3BB69-23CF-44E3-9099-C40C66FF867C}">
                  <a14:compatExt spid="_x0000_s11412"/>
                </a:ext>
                <a:ext uri="{FF2B5EF4-FFF2-40B4-BE49-F238E27FC236}">
                  <a16:creationId xmlns:a16="http://schemas.microsoft.com/office/drawing/2014/main" xmlns="" id="{00000000-0008-0000-0900-00009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9" Type="http://schemas.openxmlformats.org/officeDocument/2006/relationships/ctrlProp" Target="../ctrlProps/ctrlProp33.xml"/><Relationship Id="rId21" Type="http://schemas.openxmlformats.org/officeDocument/2006/relationships/ctrlProp" Target="../ctrlProps/ctrlProp15.xml"/><Relationship Id="rId34" Type="http://schemas.openxmlformats.org/officeDocument/2006/relationships/ctrlProp" Target="../ctrlProps/ctrlProp28.xml"/><Relationship Id="rId42" Type="http://schemas.openxmlformats.org/officeDocument/2006/relationships/ctrlProp" Target="../ctrlProps/ctrlProp36.xml"/><Relationship Id="rId47" Type="http://schemas.openxmlformats.org/officeDocument/2006/relationships/ctrlProp" Target="../ctrlProps/ctrlProp41.xml"/><Relationship Id="rId50" Type="http://schemas.openxmlformats.org/officeDocument/2006/relationships/ctrlProp" Target="../ctrlProps/ctrlProp44.xml"/><Relationship Id="rId55" Type="http://schemas.openxmlformats.org/officeDocument/2006/relationships/ctrlProp" Target="../ctrlProps/ctrlProp49.xml"/><Relationship Id="rId63" Type="http://schemas.openxmlformats.org/officeDocument/2006/relationships/ctrlProp" Target="../ctrlProps/ctrlProp57.xml"/><Relationship Id="rId68" Type="http://schemas.openxmlformats.org/officeDocument/2006/relationships/ctrlProp" Target="../ctrlProps/ctrlProp62.xm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0.xml"/><Relationship Id="rId29" Type="http://schemas.openxmlformats.org/officeDocument/2006/relationships/ctrlProp" Target="../ctrlProps/ctrlProp23.xm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2.vml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32" Type="http://schemas.openxmlformats.org/officeDocument/2006/relationships/ctrlProp" Target="../ctrlProps/ctrlProp26.xml"/><Relationship Id="rId37" Type="http://schemas.openxmlformats.org/officeDocument/2006/relationships/ctrlProp" Target="../ctrlProps/ctrlProp31.xml"/><Relationship Id="rId40" Type="http://schemas.openxmlformats.org/officeDocument/2006/relationships/ctrlProp" Target="../ctrlProps/ctrlProp34.xml"/><Relationship Id="rId45" Type="http://schemas.openxmlformats.org/officeDocument/2006/relationships/ctrlProp" Target="../ctrlProps/ctrlProp39.xml"/><Relationship Id="rId53" Type="http://schemas.openxmlformats.org/officeDocument/2006/relationships/ctrlProp" Target="../ctrlProps/ctrlProp47.xml"/><Relationship Id="rId58" Type="http://schemas.openxmlformats.org/officeDocument/2006/relationships/ctrlProp" Target="../ctrlProps/ctrlProp52.xml"/><Relationship Id="rId66" Type="http://schemas.openxmlformats.org/officeDocument/2006/relationships/ctrlProp" Target="../ctrlProps/ctrlProp60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36" Type="http://schemas.openxmlformats.org/officeDocument/2006/relationships/ctrlProp" Target="../ctrlProps/ctrlProp30.xml"/><Relationship Id="rId49" Type="http://schemas.openxmlformats.org/officeDocument/2006/relationships/ctrlProp" Target="../ctrlProps/ctrlProp43.xml"/><Relationship Id="rId57" Type="http://schemas.openxmlformats.org/officeDocument/2006/relationships/ctrlProp" Target="../ctrlProps/ctrlProp51.xml"/><Relationship Id="rId61" Type="http://schemas.openxmlformats.org/officeDocument/2006/relationships/ctrlProp" Target="../ctrlProps/ctrlProp55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31" Type="http://schemas.openxmlformats.org/officeDocument/2006/relationships/ctrlProp" Target="../ctrlProps/ctrlProp25.xml"/><Relationship Id="rId44" Type="http://schemas.openxmlformats.org/officeDocument/2006/relationships/ctrlProp" Target="../ctrlProps/ctrlProp38.xml"/><Relationship Id="rId52" Type="http://schemas.openxmlformats.org/officeDocument/2006/relationships/ctrlProp" Target="../ctrlProps/ctrlProp46.xml"/><Relationship Id="rId60" Type="http://schemas.openxmlformats.org/officeDocument/2006/relationships/ctrlProp" Target="../ctrlProps/ctrlProp54.xml"/><Relationship Id="rId65" Type="http://schemas.openxmlformats.org/officeDocument/2006/relationships/ctrlProp" Target="../ctrlProps/ctrlProp59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30" Type="http://schemas.openxmlformats.org/officeDocument/2006/relationships/ctrlProp" Target="../ctrlProps/ctrlProp24.xml"/><Relationship Id="rId35" Type="http://schemas.openxmlformats.org/officeDocument/2006/relationships/ctrlProp" Target="../ctrlProps/ctrlProp29.xml"/><Relationship Id="rId43" Type="http://schemas.openxmlformats.org/officeDocument/2006/relationships/ctrlProp" Target="../ctrlProps/ctrlProp37.xml"/><Relationship Id="rId48" Type="http://schemas.openxmlformats.org/officeDocument/2006/relationships/ctrlProp" Target="../ctrlProps/ctrlProp42.xml"/><Relationship Id="rId56" Type="http://schemas.openxmlformats.org/officeDocument/2006/relationships/ctrlProp" Target="../ctrlProps/ctrlProp50.xml"/><Relationship Id="rId64" Type="http://schemas.openxmlformats.org/officeDocument/2006/relationships/ctrlProp" Target="../ctrlProps/ctrlProp58.xml"/><Relationship Id="rId69" Type="http://schemas.openxmlformats.org/officeDocument/2006/relationships/ctrlProp" Target="../ctrlProps/ctrlProp63.xml"/><Relationship Id="rId8" Type="http://schemas.openxmlformats.org/officeDocument/2006/relationships/ctrlProp" Target="../ctrlProps/ctrlProp2.xml"/><Relationship Id="rId51" Type="http://schemas.openxmlformats.org/officeDocument/2006/relationships/ctrlProp" Target="../ctrlProps/ctrlProp45.xml"/><Relationship Id="rId3" Type="http://schemas.openxmlformats.org/officeDocument/2006/relationships/printerSettings" Target="../printerSettings/printerSettings3.bin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33" Type="http://schemas.openxmlformats.org/officeDocument/2006/relationships/ctrlProp" Target="../ctrlProps/ctrlProp27.xml"/><Relationship Id="rId38" Type="http://schemas.openxmlformats.org/officeDocument/2006/relationships/ctrlProp" Target="../ctrlProps/ctrlProp32.xml"/><Relationship Id="rId46" Type="http://schemas.openxmlformats.org/officeDocument/2006/relationships/ctrlProp" Target="../ctrlProps/ctrlProp40.xml"/><Relationship Id="rId59" Type="http://schemas.openxmlformats.org/officeDocument/2006/relationships/ctrlProp" Target="../ctrlProps/ctrlProp53.xml"/><Relationship Id="rId67" Type="http://schemas.openxmlformats.org/officeDocument/2006/relationships/ctrlProp" Target="../ctrlProps/ctrlProp61.xml"/><Relationship Id="rId20" Type="http://schemas.openxmlformats.org/officeDocument/2006/relationships/ctrlProp" Target="../ctrlProps/ctrlProp14.xml"/><Relationship Id="rId41" Type="http://schemas.openxmlformats.org/officeDocument/2006/relationships/ctrlProp" Target="../ctrlProps/ctrlProp35.xml"/><Relationship Id="rId54" Type="http://schemas.openxmlformats.org/officeDocument/2006/relationships/ctrlProp" Target="../ctrlProps/ctrlProp48.xml"/><Relationship Id="rId62" Type="http://schemas.openxmlformats.org/officeDocument/2006/relationships/ctrlProp" Target="../ctrlProps/ctrlProp56.xml"/><Relationship Id="rId70" Type="http://schemas.openxmlformats.org/officeDocument/2006/relationships/ctrlProp" Target="../ctrlProps/ctrlProp64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5.xml"/><Relationship Id="rId18" Type="http://schemas.openxmlformats.org/officeDocument/2006/relationships/ctrlProp" Target="../ctrlProps/ctrlProp80.xml"/><Relationship Id="rId26" Type="http://schemas.openxmlformats.org/officeDocument/2006/relationships/ctrlProp" Target="../ctrlProps/ctrlProp88.xml"/><Relationship Id="rId39" Type="http://schemas.openxmlformats.org/officeDocument/2006/relationships/ctrlProp" Target="../ctrlProps/ctrlProp101.xml"/><Relationship Id="rId21" Type="http://schemas.openxmlformats.org/officeDocument/2006/relationships/ctrlProp" Target="../ctrlProps/ctrlProp83.xml"/><Relationship Id="rId34" Type="http://schemas.openxmlformats.org/officeDocument/2006/relationships/ctrlProp" Target="../ctrlProps/ctrlProp96.xml"/><Relationship Id="rId42" Type="http://schemas.openxmlformats.org/officeDocument/2006/relationships/ctrlProp" Target="../ctrlProps/ctrlProp104.xml"/><Relationship Id="rId47" Type="http://schemas.openxmlformats.org/officeDocument/2006/relationships/ctrlProp" Target="../ctrlProps/ctrlProp109.xml"/><Relationship Id="rId50" Type="http://schemas.openxmlformats.org/officeDocument/2006/relationships/ctrlProp" Target="../ctrlProps/ctrlProp112.xml"/><Relationship Id="rId55" Type="http://schemas.openxmlformats.org/officeDocument/2006/relationships/ctrlProp" Target="../ctrlProps/ctrlProp117.xml"/><Relationship Id="rId63" Type="http://schemas.openxmlformats.org/officeDocument/2006/relationships/ctrlProp" Target="../ctrlProps/ctrlProp125.xml"/><Relationship Id="rId68" Type="http://schemas.openxmlformats.org/officeDocument/2006/relationships/ctrlProp" Target="../ctrlProps/ctrlProp130.xml"/><Relationship Id="rId7" Type="http://schemas.openxmlformats.org/officeDocument/2006/relationships/ctrlProp" Target="../ctrlProps/ctrlProp6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78.xml"/><Relationship Id="rId29" Type="http://schemas.openxmlformats.org/officeDocument/2006/relationships/ctrlProp" Target="../ctrlProps/ctrlProp9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68.xml"/><Relationship Id="rId11" Type="http://schemas.openxmlformats.org/officeDocument/2006/relationships/ctrlProp" Target="../ctrlProps/ctrlProp73.xml"/><Relationship Id="rId24" Type="http://schemas.openxmlformats.org/officeDocument/2006/relationships/ctrlProp" Target="../ctrlProps/ctrlProp86.xml"/><Relationship Id="rId32" Type="http://schemas.openxmlformats.org/officeDocument/2006/relationships/ctrlProp" Target="../ctrlProps/ctrlProp94.xml"/><Relationship Id="rId37" Type="http://schemas.openxmlformats.org/officeDocument/2006/relationships/ctrlProp" Target="../ctrlProps/ctrlProp99.xml"/><Relationship Id="rId40" Type="http://schemas.openxmlformats.org/officeDocument/2006/relationships/ctrlProp" Target="../ctrlProps/ctrlProp102.xml"/><Relationship Id="rId45" Type="http://schemas.openxmlformats.org/officeDocument/2006/relationships/ctrlProp" Target="../ctrlProps/ctrlProp107.xml"/><Relationship Id="rId53" Type="http://schemas.openxmlformats.org/officeDocument/2006/relationships/ctrlProp" Target="../ctrlProps/ctrlProp115.xml"/><Relationship Id="rId58" Type="http://schemas.openxmlformats.org/officeDocument/2006/relationships/ctrlProp" Target="../ctrlProps/ctrlProp120.xml"/><Relationship Id="rId66" Type="http://schemas.openxmlformats.org/officeDocument/2006/relationships/ctrlProp" Target="../ctrlProps/ctrlProp128.xml"/><Relationship Id="rId5" Type="http://schemas.openxmlformats.org/officeDocument/2006/relationships/ctrlProp" Target="../ctrlProps/ctrlProp67.xml"/><Relationship Id="rId15" Type="http://schemas.openxmlformats.org/officeDocument/2006/relationships/ctrlProp" Target="../ctrlProps/ctrlProp77.xml"/><Relationship Id="rId23" Type="http://schemas.openxmlformats.org/officeDocument/2006/relationships/ctrlProp" Target="../ctrlProps/ctrlProp85.xml"/><Relationship Id="rId28" Type="http://schemas.openxmlformats.org/officeDocument/2006/relationships/ctrlProp" Target="../ctrlProps/ctrlProp90.xml"/><Relationship Id="rId36" Type="http://schemas.openxmlformats.org/officeDocument/2006/relationships/ctrlProp" Target="../ctrlProps/ctrlProp98.xml"/><Relationship Id="rId49" Type="http://schemas.openxmlformats.org/officeDocument/2006/relationships/ctrlProp" Target="../ctrlProps/ctrlProp111.xml"/><Relationship Id="rId57" Type="http://schemas.openxmlformats.org/officeDocument/2006/relationships/ctrlProp" Target="../ctrlProps/ctrlProp119.xml"/><Relationship Id="rId61" Type="http://schemas.openxmlformats.org/officeDocument/2006/relationships/ctrlProp" Target="../ctrlProps/ctrlProp123.xml"/><Relationship Id="rId10" Type="http://schemas.openxmlformats.org/officeDocument/2006/relationships/ctrlProp" Target="../ctrlProps/ctrlProp72.xml"/><Relationship Id="rId19" Type="http://schemas.openxmlformats.org/officeDocument/2006/relationships/ctrlProp" Target="../ctrlProps/ctrlProp81.xml"/><Relationship Id="rId31" Type="http://schemas.openxmlformats.org/officeDocument/2006/relationships/ctrlProp" Target="../ctrlProps/ctrlProp93.xml"/><Relationship Id="rId44" Type="http://schemas.openxmlformats.org/officeDocument/2006/relationships/ctrlProp" Target="../ctrlProps/ctrlProp106.xml"/><Relationship Id="rId52" Type="http://schemas.openxmlformats.org/officeDocument/2006/relationships/ctrlProp" Target="../ctrlProps/ctrlProp114.xml"/><Relationship Id="rId60" Type="http://schemas.openxmlformats.org/officeDocument/2006/relationships/ctrlProp" Target="../ctrlProps/ctrlProp122.xml"/><Relationship Id="rId65" Type="http://schemas.openxmlformats.org/officeDocument/2006/relationships/ctrlProp" Target="../ctrlProps/ctrlProp127.xml"/><Relationship Id="rId4" Type="http://schemas.openxmlformats.org/officeDocument/2006/relationships/ctrlProp" Target="../ctrlProps/ctrlProp66.xml"/><Relationship Id="rId9" Type="http://schemas.openxmlformats.org/officeDocument/2006/relationships/ctrlProp" Target="../ctrlProps/ctrlProp71.xml"/><Relationship Id="rId14" Type="http://schemas.openxmlformats.org/officeDocument/2006/relationships/ctrlProp" Target="../ctrlProps/ctrlProp76.xml"/><Relationship Id="rId22" Type="http://schemas.openxmlformats.org/officeDocument/2006/relationships/ctrlProp" Target="../ctrlProps/ctrlProp84.xml"/><Relationship Id="rId27" Type="http://schemas.openxmlformats.org/officeDocument/2006/relationships/ctrlProp" Target="../ctrlProps/ctrlProp89.xml"/><Relationship Id="rId30" Type="http://schemas.openxmlformats.org/officeDocument/2006/relationships/ctrlProp" Target="../ctrlProps/ctrlProp92.xml"/><Relationship Id="rId35" Type="http://schemas.openxmlformats.org/officeDocument/2006/relationships/ctrlProp" Target="../ctrlProps/ctrlProp97.xml"/><Relationship Id="rId43" Type="http://schemas.openxmlformats.org/officeDocument/2006/relationships/ctrlProp" Target="../ctrlProps/ctrlProp105.xml"/><Relationship Id="rId48" Type="http://schemas.openxmlformats.org/officeDocument/2006/relationships/ctrlProp" Target="../ctrlProps/ctrlProp110.xml"/><Relationship Id="rId56" Type="http://schemas.openxmlformats.org/officeDocument/2006/relationships/ctrlProp" Target="../ctrlProps/ctrlProp118.xml"/><Relationship Id="rId64" Type="http://schemas.openxmlformats.org/officeDocument/2006/relationships/ctrlProp" Target="../ctrlProps/ctrlProp126.xml"/><Relationship Id="rId69" Type="http://schemas.openxmlformats.org/officeDocument/2006/relationships/ctrlProp" Target="../ctrlProps/ctrlProp131.xml"/><Relationship Id="rId8" Type="http://schemas.openxmlformats.org/officeDocument/2006/relationships/ctrlProp" Target="../ctrlProps/ctrlProp70.xml"/><Relationship Id="rId51" Type="http://schemas.openxmlformats.org/officeDocument/2006/relationships/ctrlProp" Target="../ctrlProps/ctrlProp113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74.xml"/><Relationship Id="rId17" Type="http://schemas.openxmlformats.org/officeDocument/2006/relationships/ctrlProp" Target="../ctrlProps/ctrlProp79.xml"/><Relationship Id="rId25" Type="http://schemas.openxmlformats.org/officeDocument/2006/relationships/ctrlProp" Target="../ctrlProps/ctrlProp87.xml"/><Relationship Id="rId33" Type="http://schemas.openxmlformats.org/officeDocument/2006/relationships/ctrlProp" Target="../ctrlProps/ctrlProp95.xml"/><Relationship Id="rId38" Type="http://schemas.openxmlformats.org/officeDocument/2006/relationships/ctrlProp" Target="../ctrlProps/ctrlProp100.xml"/><Relationship Id="rId46" Type="http://schemas.openxmlformats.org/officeDocument/2006/relationships/ctrlProp" Target="../ctrlProps/ctrlProp108.xml"/><Relationship Id="rId59" Type="http://schemas.openxmlformats.org/officeDocument/2006/relationships/ctrlProp" Target="../ctrlProps/ctrlProp121.xml"/><Relationship Id="rId67" Type="http://schemas.openxmlformats.org/officeDocument/2006/relationships/ctrlProp" Target="../ctrlProps/ctrlProp129.xml"/><Relationship Id="rId20" Type="http://schemas.openxmlformats.org/officeDocument/2006/relationships/ctrlProp" Target="../ctrlProps/ctrlProp82.xml"/><Relationship Id="rId41" Type="http://schemas.openxmlformats.org/officeDocument/2006/relationships/ctrlProp" Target="../ctrlProps/ctrlProp103.xml"/><Relationship Id="rId54" Type="http://schemas.openxmlformats.org/officeDocument/2006/relationships/ctrlProp" Target="../ctrlProps/ctrlProp116.xml"/><Relationship Id="rId62" Type="http://schemas.openxmlformats.org/officeDocument/2006/relationships/ctrlProp" Target="../ctrlProps/ctrlProp124.xml"/><Relationship Id="rId70" Type="http://schemas.openxmlformats.org/officeDocument/2006/relationships/ctrlProp" Target="../ctrlProps/ctrlProp1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6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iral.ch/home/docufinder.html" TargetMode="External"/><Relationship Id="rId13" Type="http://schemas.openxmlformats.org/officeDocument/2006/relationships/hyperlink" Target="http://www.biral.ch/home/docufinder.html" TargetMode="External"/><Relationship Id="rId18" Type="http://schemas.openxmlformats.org/officeDocument/2006/relationships/hyperlink" Target="http://www.biral.ch/home/docufinder.html" TargetMode="External"/><Relationship Id="rId26" Type="http://schemas.openxmlformats.org/officeDocument/2006/relationships/hyperlink" Target="http://www.biral.ch/fileadmin/Media/images/Planungstools/PumpStationSelector_DWG/FPS_1000_2.0_90_BF_11_F1.DWG" TargetMode="External"/><Relationship Id="rId3" Type="http://schemas.openxmlformats.org/officeDocument/2006/relationships/hyperlink" Target="http://www.biral.ch/home/docufinder.html" TargetMode="External"/><Relationship Id="rId21" Type="http://schemas.openxmlformats.org/officeDocument/2006/relationships/hyperlink" Target="http://www.biral.ch/home/docufinder.html" TargetMode="External"/><Relationship Id="rId7" Type="http://schemas.openxmlformats.org/officeDocument/2006/relationships/hyperlink" Target="http://www.biral.ch/home/docufinder.html" TargetMode="External"/><Relationship Id="rId12" Type="http://schemas.openxmlformats.org/officeDocument/2006/relationships/hyperlink" Target="http://www.biral.ch/home/docufinder.html" TargetMode="External"/><Relationship Id="rId17" Type="http://schemas.openxmlformats.org/officeDocument/2006/relationships/hyperlink" Target="http://www.biral.ch/home/docufinder.html" TargetMode="External"/><Relationship Id="rId25" Type="http://schemas.openxmlformats.org/officeDocument/2006/relationships/hyperlink" Target="http://www.biral.ch/home/docufinder.html" TargetMode="External"/><Relationship Id="rId2" Type="http://schemas.openxmlformats.org/officeDocument/2006/relationships/hyperlink" Target="http://www.biral.ch/home/docufinder.html" TargetMode="External"/><Relationship Id="rId16" Type="http://schemas.openxmlformats.org/officeDocument/2006/relationships/hyperlink" Target="http://www.biral.ch/home/docufinder.html" TargetMode="External"/><Relationship Id="rId20" Type="http://schemas.openxmlformats.org/officeDocument/2006/relationships/hyperlink" Target="http://www.biral.ch/home/docufinder.html" TargetMode="External"/><Relationship Id="rId1" Type="http://schemas.openxmlformats.org/officeDocument/2006/relationships/hyperlink" Target="http://www.biral.ch/home/docufinder.html" TargetMode="External"/><Relationship Id="rId6" Type="http://schemas.openxmlformats.org/officeDocument/2006/relationships/hyperlink" Target="http://www.biral.ch/home/docufinder.html" TargetMode="External"/><Relationship Id="rId11" Type="http://schemas.openxmlformats.org/officeDocument/2006/relationships/hyperlink" Target="http://www.biral.ch/home/docufinder.html" TargetMode="External"/><Relationship Id="rId24" Type="http://schemas.openxmlformats.org/officeDocument/2006/relationships/hyperlink" Target="http://www.biral.ch/home/docufinder.html" TargetMode="External"/><Relationship Id="rId5" Type="http://schemas.openxmlformats.org/officeDocument/2006/relationships/hyperlink" Target="http://www.biral.ch/home/docufinder.html" TargetMode="External"/><Relationship Id="rId15" Type="http://schemas.openxmlformats.org/officeDocument/2006/relationships/hyperlink" Target="http://www.biral.ch/home/docufinder.html" TargetMode="External"/><Relationship Id="rId23" Type="http://schemas.openxmlformats.org/officeDocument/2006/relationships/hyperlink" Target="http://www.biral.ch/home/docufinder.html" TargetMode="External"/><Relationship Id="rId10" Type="http://schemas.openxmlformats.org/officeDocument/2006/relationships/hyperlink" Target="http://www.biral.ch/home/docufinder.html" TargetMode="External"/><Relationship Id="rId19" Type="http://schemas.openxmlformats.org/officeDocument/2006/relationships/hyperlink" Target="http://www.biral.ch/home/docufinder.html" TargetMode="External"/><Relationship Id="rId4" Type="http://schemas.openxmlformats.org/officeDocument/2006/relationships/hyperlink" Target="http://www.biral.ch/home/docufinder.html" TargetMode="External"/><Relationship Id="rId9" Type="http://schemas.openxmlformats.org/officeDocument/2006/relationships/hyperlink" Target="http://www.biral.ch/home/docufinder.html" TargetMode="External"/><Relationship Id="rId14" Type="http://schemas.openxmlformats.org/officeDocument/2006/relationships/hyperlink" Target="http://www.biral.ch/home/docufinder.html" TargetMode="External"/><Relationship Id="rId22" Type="http://schemas.openxmlformats.org/officeDocument/2006/relationships/hyperlink" Target="http://www.biral.ch/home/docufi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2:P230"/>
  <sheetViews>
    <sheetView showGridLines="0" tabSelected="1" view="pageLayout" zoomScale="115" zoomScaleNormal="75" zoomScalePageLayoutView="115" workbookViewId="0">
      <selection activeCell="F4" sqref="F4"/>
    </sheetView>
  </sheetViews>
  <sheetFormatPr baseColWidth="10" defaultRowHeight="15" x14ac:dyDescent="0.25"/>
  <cols>
    <col min="1" max="1" width="2.85546875" customWidth="1"/>
    <col min="2" max="2" width="2.42578125" style="112" customWidth="1"/>
    <col min="3" max="3" width="7.85546875" customWidth="1"/>
    <col min="4" max="4" width="40.28515625" customWidth="1"/>
    <col min="5" max="5" width="13.42578125" customWidth="1"/>
    <col min="6" max="6" width="13" customWidth="1"/>
    <col min="7" max="7" width="19" customWidth="1"/>
    <col min="8" max="8" width="5.7109375" customWidth="1"/>
  </cols>
  <sheetData>
    <row r="2" spans="1:16" ht="18" x14ac:dyDescent="0.25">
      <c r="C2" s="156"/>
    </row>
    <row r="3" spans="1:16" ht="18" x14ac:dyDescent="0.25">
      <c r="A3" s="225"/>
      <c r="B3" s="222"/>
      <c r="C3" s="340" t="str">
        <f>Sprachen!E3</f>
        <v>Selettore pozzo V.5.2</v>
      </c>
      <c r="D3" s="225"/>
    </row>
    <row r="4" spans="1:16" ht="14.1" customHeight="1" x14ac:dyDescent="0.25">
      <c r="A4" s="225"/>
      <c r="B4" s="222"/>
      <c r="C4" s="225"/>
      <c r="D4" s="225" t="s">
        <v>655</v>
      </c>
      <c r="E4" s="197"/>
      <c r="F4" s="198" t="s">
        <v>576</v>
      </c>
    </row>
    <row r="5" spans="1:16" ht="5.85" customHeight="1" x14ac:dyDescent="0.25">
      <c r="A5" s="225"/>
      <c r="B5" s="222"/>
      <c r="C5" s="225"/>
      <c r="D5" s="225"/>
    </row>
    <row r="6" spans="1:16" x14ac:dyDescent="0.25">
      <c r="A6" s="225"/>
      <c r="B6" s="222"/>
      <c r="C6" s="341"/>
      <c r="D6" s="342" t="str">
        <f>Sprachen!E4</f>
        <v>Installatore:</v>
      </c>
      <c r="E6" s="661"/>
      <c r="F6" s="662"/>
    </row>
    <row r="7" spans="1:16" ht="6" customHeight="1" x14ac:dyDescent="0.25">
      <c r="A7" s="225"/>
      <c r="B7" s="222"/>
      <c r="C7" s="343"/>
      <c r="D7" s="342"/>
      <c r="E7" s="158"/>
      <c r="F7" s="158"/>
      <c r="G7" s="157"/>
      <c r="H7" s="157"/>
      <c r="I7" s="157"/>
      <c r="J7" s="157"/>
      <c r="K7" s="157"/>
      <c r="L7" s="157"/>
      <c r="M7" s="157"/>
      <c r="N7" s="159"/>
      <c r="O7" s="157"/>
      <c r="P7" s="157"/>
    </row>
    <row r="8" spans="1:16" x14ac:dyDescent="0.25">
      <c r="A8" s="225"/>
      <c r="B8" s="222"/>
      <c r="C8" s="344"/>
      <c r="D8" s="345" t="str">
        <f>Sprachen!E5</f>
        <v>Data:</v>
      </c>
      <c r="E8" s="661"/>
      <c r="F8" s="662"/>
    </row>
    <row r="9" spans="1:16" ht="6" customHeight="1" x14ac:dyDescent="0.25">
      <c r="A9" s="225"/>
      <c r="B9" s="222"/>
      <c r="C9" s="343"/>
      <c r="D9" s="342"/>
      <c r="E9" s="158"/>
      <c r="F9" s="158"/>
      <c r="G9" s="157"/>
      <c r="H9" s="157"/>
      <c r="I9" s="157"/>
      <c r="J9" s="157"/>
      <c r="K9" s="157"/>
      <c r="L9" s="157"/>
      <c r="M9" s="157"/>
      <c r="N9" s="159"/>
      <c r="O9" s="157"/>
      <c r="P9" s="157"/>
    </row>
    <row r="10" spans="1:16" x14ac:dyDescent="0.25">
      <c r="A10" s="225"/>
      <c r="B10" s="222"/>
      <c r="C10" s="341"/>
      <c r="D10" s="342" t="str">
        <f>Sprachen!E6</f>
        <v>Impianto:</v>
      </c>
      <c r="E10" s="661"/>
      <c r="F10" s="662"/>
    </row>
    <row r="11" spans="1:16" ht="6" customHeight="1" x14ac:dyDescent="0.25">
      <c r="A11" s="225"/>
      <c r="B11" s="222"/>
      <c r="C11" s="343"/>
      <c r="D11" s="342"/>
      <c r="E11" s="158"/>
      <c r="F11" s="158"/>
      <c r="G11" s="157"/>
      <c r="H11" s="157"/>
      <c r="I11" s="157"/>
      <c r="J11" s="157"/>
      <c r="K11" s="157"/>
      <c r="L11" s="157"/>
      <c r="M11" s="157"/>
      <c r="N11" s="159"/>
      <c r="O11" s="157"/>
      <c r="P11" s="157"/>
    </row>
    <row r="12" spans="1:16" x14ac:dyDescent="0.25">
      <c r="A12" s="225"/>
      <c r="B12" s="222"/>
      <c r="C12" s="341"/>
      <c r="D12" s="342"/>
      <c r="E12" s="661"/>
      <c r="F12" s="662"/>
    </row>
    <row r="13" spans="1:16" ht="6" customHeight="1" x14ac:dyDescent="0.25">
      <c r="A13" s="225"/>
      <c r="B13" s="222"/>
      <c r="C13" s="343"/>
      <c r="D13" s="342"/>
      <c r="E13" s="158"/>
      <c r="F13" s="158"/>
      <c r="G13" s="157"/>
      <c r="H13" s="157"/>
      <c r="I13" s="157"/>
      <c r="J13" s="157"/>
      <c r="K13" s="157"/>
      <c r="L13" s="157"/>
      <c r="M13" s="157"/>
      <c r="N13" s="159"/>
      <c r="O13" s="157"/>
      <c r="P13" s="157"/>
    </row>
    <row r="14" spans="1:16" x14ac:dyDescent="0.25">
      <c r="A14" s="225"/>
      <c r="B14" s="222"/>
      <c r="C14" s="341"/>
      <c r="D14" s="342" t="str">
        <f>Sprachen!E7</f>
        <v>Via:</v>
      </c>
      <c r="E14" s="661"/>
      <c r="F14" s="662"/>
    </row>
    <row r="15" spans="1:16" ht="6" customHeight="1" x14ac:dyDescent="0.25">
      <c r="A15" s="225"/>
      <c r="B15" s="222"/>
      <c r="C15" s="343"/>
      <c r="D15" s="342"/>
      <c r="E15" s="158"/>
      <c r="F15" s="158"/>
      <c r="G15" s="157"/>
      <c r="H15" s="157"/>
      <c r="I15" s="157"/>
      <c r="J15" s="157"/>
      <c r="K15" s="157"/>
      <c r="L15" s="157"/>
      <c r="M15" s="157"/>
      <c r="N15" s="159"/>
      <c r="O15" s="157"/>
      <c r="P15" s="157"/>
    </row>
    <row r="16" spans="1:16" x14ac:dyDescent="0.25">
      <c r="A16" s="225"/>
      <c r="B16" s="222"/>
      <c r="C16" s="341"/>
      <c r="D16" s="342" t="str">
        <f>Sprachen!E8</f>
        <v>Città:</v>
      </c>
      <c r="E16" s="661"/>
      <c r="F16" s="662"/>
    </row>
    <row r="17" spans="1:16" ht="6" customHeight="1" x14ac:dyDescent="0.25">
      <c r="A17" s="225"/>
      <c r="B17" s="222"/>
      <c r="C17" s="343"/>
      <c r="D17" s="342"/>
      <c r="E17" s="158"/>
      <c r="F17" s="158"/>
      <c r="G17" s="157"/>
      <c r="H17" s="157"/>
      <c r="I17" s="157"/>
      <c r="J17" s="157"/>
      <c r="K17" s="157"/>
      <c r="L17" s="157"/>
      <c r="M17" s="157"/>
      <c r="N17" s="159"/>
      <c r="O17" s="157"/>
      <c r="P17" s="157"/>
    </row>
    <row r="18" spans="1:16" x14ac:dyDescent="0.25">
      <c r="A18" s="225"/>
      <c r="B18" s="222"/>
      <c r="C18" s="341"/>
      <c r="D18" s="342"/>
      <c r="E18" s="661"/>
      <c r="F18" s="662"/>
    </row>
    <row r="19" spans="1:16" ht="6" customHeight="1" x14ac:dyDescent="0.25">
      <c r="A19" s="225"/>
      <c r="B19" s="222"/>
      <c r="C19" s="343"/>
      <c r="D19" s="346"/>
      <c r="E19" s="158"/>
      <c r="F19" s="158"/>
      <c r="G19" s="157"/>
      <c r="H19" s="157"/>
      <c r="I19" s="157"/>
      <c r="J19" s="157"/>
      <c r="K19" s="157"/>
      <c r="L19" s="157"/>
      <c r="M19" s="157"/>
      <c r="N19" s="159"/>
      <c r="O19" s="157"/>
      <c r="P19" s="157"/>
    </row>
    <row r="20" spans="1:16" x14ac:dyDescent="0.25">
      <c r="A20" s="225"/>
      <c r="B20" s="222"/>
      <c r="C20" s="225"/>
      <c r="D20" s="342" t="str">
        <f>Sprachen!E9</f>
        <v>Note:</v>
      </c>
      <c r="E20" s="661"/>
      <c r="F20" s="662"/>
    </row>
    <row r="21" spans="1:16" ht="6" customHeight="1" thickBot="1" x14ac:dyDescent="0.3">
      <c r="A21" s="225"/>
      <c r="B21" s="222"/>
      <c r="C21" s="343"/>
      <c r="D21" s="343"/>
      <c r="E21" s="158"/>
      <c r="F21" s="158"/>
      <c r="G21" s="157"/>
      <c r="H21" s="157"/>
      <c r="I21" s="157"/>
      <c r="J21" s="157"/>
      <c r="K21" s="157"/>
      <c r="L21" s="157"/>
      <c r="M21" s="157"/>
      <c r="N21" s="159"/>
      <c r="O21" s="157"/>
      <c r="P21" s="157"/>
    </row>
    <row r="22" spans="1:16" ht="15.75" thickBot="1" x14ac:dyDescent="0.3">
      <c r="A22" s="335"/>
      <c r="B22" s="336"/>
      <c r="C22" s="337" t="str">
        <f>Sprachen!E10</f>
        <v>Quantità</v>
      </c>
      <c r="D22" s="337" t="str">
        <f>Sprachen!E11</f>
        <v>Elementi da drenare</v>
      </c>
      <c r="E22" s="337" t="str">
        <f>Sprachen!E12</f>
        <v>Design Unit</v>
      </c>
      <c r="F22" s="338" t="str">
        <f>Sprachen!E13</f>
        <v>Totale</v>
      </c>
      <c r="G22" s="339"/>
    </row>
    <row r="23" spans="1:16" x14ac:dyDescent="0.25">
      <c r="A23" s="347"/>
      <c r="B23" s="222"/>
      <c r="C23" s="618"/>
      <c r="D23" s="223" t="str">
        <f>Sprachen!E14</f>
        <v>Orinatoio senz'acqua</v>
      </c>
      <c r="E23" s="223">
        <v>0.1</v>
      </c>
      <c r="F23" s="650" t="str">
        <f>IF(C23="","",C23*E23)</f>
        <v/>
      </c>
      <c r="G23" s="222">
        <f>IF(F23="",0,1)</f>
        <v>0</v>
      </c>
    </row>
    <row r="24" spans="1:16" x14ac:dyDescent="0.25">
      <c r="A24" s="347"/>
      <c r="B24" s="222"/>
      <c r="C24" s="616"/>
      <c r="D24" s="223" t="str">
        <f>Sprachen!E15</f>
        <v>Orinatoio per persona</v>
      </c>
      <c r="E24" s="223">
        <v>0.2</v>
      </c>
      <c r="F24" s="651" t="str">
        <f t="shared" ref="F24:F66" si="0">IF(C24="","",C24*E24)</f>
        <v/>
      </c>
      <c r="G24" s="222">
        <f t="shared" ref="G24:G26" si="1">IF(F24="",0,1)</f>
        <v>0</v>
      </c>
    </row>
    <row r="25" spans="1:16" x14ac:dyDescent="0.25">
      <c r="A25" s="347"/>
      <c r="B25" s="222"/>
      <c r="C25" s="616"/>
      <c r="D25" s="223" t="str">
        <f>Sprachen!E16</f>
        <v>Orinatoio con flussometro</v>
      </c>
      <c r="E25" s="223">
        <v>0.5</v>
      </c>
      <c r="F25" s="651" t="str">
        <f t="shared" si="0"/>
        <v/>
      </c>
      <c r="G25" s="222">
        <f t="shared" si="1"/>
        <v>0</v>
      </c>
    </row>
    <row r="26" spans="1:16" ht="15.75" thickBot="1" x14ac:dyDescent="0.3">
      <c r="A26" s="347"/>
      <c r="B26" s="222"/>
      <c r="C26" s="617"/>
      <c r="D26" s="227" t="str">
        <f>Sprachen!E17</f>
        <v>Orinatoio con sciacquone</v>
      </c>
      <c r="E26" s="227">
        <v>0.8</v>
      </c>
      <c r="F26" s="651" t="str">
        <f t="shared" si="0"/>
        <v/>
      </c>
      <c r="G26" s="222">
        <f t="shared" si="1"/>
        <v>0</v>
      </c>
    </row>
    <row r="27" spans="1:16" ht="5.85" customHeight="1" thickBot="1" x14ac:dyDescent="0.3">
      <c r="A27" s="347"/>
      <c r="B27" s="222"/>
      <c r="D27" s="225"/>
      <c r="E27" s="225"/>
      <c r="F27" s="223"/>
      <c r="G27" s="224"/>
    </row>
    <row r="28" spans="1:16" x14ac:dyDescent="0.25">
      <c r="A28" s="347"/>
      <c r="B28" s="222"/>
      <c r="C28" s="615"/>
      <c r="D28" s="233" t="str">
        <f>Sprachen!E18</f>
        <v>Lavabo, lavandino</v>
      </c>
      <c r="E28" s="233">
        <v>0.5</v>
      </c>
      <c r="F28" s="651" t="str">
        <f t="shared" si="0"/>
        <v/>
      </c>
      <c r="G28" s="222"/>
    </row>
    <row r="29" spans="1:16" x14ac:dyDescent="0.25">
      <c r="A29" s="347"/>
      <c r="B29" s="222"/>
      <c r="C29" s="616"/>
      <c r="D29" s="223" t="str">
        <f>Sprachen!E19</f>
        <v>Vasca di lavaggio</v>
      </c>
      <c r="E29" s="223">
        <v>0.8</v>
      </c>
      <c r="F29" s="651" t="str">
        <f t="shared" si="0"/>
        <v/>
      </c>
      <c r="G29" s="222"/>
    </row>
    <row r="30" spans="1:16" x14ac:dyDescent="0.25">
      <c r="A30" s="656" t="str">
        <f>Sprachen!E53</f>
        <v>Posa mediante calcolo DU</v>
      </c>
      <c r="B30" s="222"/>
      <c r="C30" s="616"/>
      <c r="D30" s="223" t="str">
        <f>Sprachen!E20</f>
        <v>Lavatoio da parete</v>
      </c>
      <c r="E30" s="223">
        <v>0.8</v>
      </c>
      <c r="F30" s="651" t="str">
        <f t="shared" si="0"/>
        <v/>
      </c>
      <c r="G30" s="222"/>
    </row>
    <row r="31" spans="1:16" x14ac:dyDescent="0.25">
      <c r="A31" s="657"/>
      <c r="B31" s="222"/>
      <c r="C31" s="616"/>
      <c r="D31" s="223" t="str">
        <f>Sprachen!E21</f>
        <v>Banco di lavaggio a 1 e 2 vasche</v>
      </c>
      <c r="E31" s="223">
        <v>0.8</v>
      </c>
      <c r="F31" s="651" t="str">
        <f t="shared" si="0"/>
        <v/>
      </c>
      <c r="G31" s="222"/>
    </row>
    <row r="32" spans="1:16" ht="15.75" thickBot="1" x14ac:dyDescent="0.3">
      <c r="A32" s="657"/>
      <c r="B32" s="222"/>
      <c r="C32" s="617"/>
      <c r="D32" s="227" t="str">
        <f>Sprachen!E22</f>
        <v>Bidet</v>
      </c>
      <c r="E32" s="227">
        <v>0.5</v>
      </c>
      <c r="F32" s="651" t="str">
        <f t="shared" si="0"/>
        <v/>
      </c>
      <c r="G32" s="222"/>
    </row>
    <row r="33" spans="1:7" ht="5.85" customHeight="1" thickBot="1" x14ac:dyDescent="0.3">
      <c r="A33" s="657"/>
      <c r="B33" s="222"/>
      <c r="D33" s="225"/>
      <c r="E33" s="225"/>
      <c r="F33" s="223"/>
      <c r="G33" s="224"/>
    </row>
    <row r="34" spans="1:7" x14ac:dyDescent="0.25">
      <c r="A34" s="657"/>
      <c r="B34" s="222"/>
      <c r="C34" s="615"/>
      <c r="D34" s="233" t="str">
        <f>Sprachen!E23</f>
        <v>Gruppo vaso a sedere fino a 7.5 l di acqua di risciacquo</v>
      </c>
      <c r="E34" s="233">
        <v>2</v>
      </c>
      <c r="F34" s="651" t="str">
        <f t="shared" si="0"/>
        <v/>
      </c>
      <c r="G34" s="222">
        <f>IF(F34="",0,1)</f>
        <v>0</v>
      </c>
    </row>
    <row r="35" spans="1:7" ht="15.75" thickBot="1" x14ac:dyDescent="0.3">
      <c r="A35" s="657"/>
      <c r="B35" s="222"/>
      <c r="C35" s="617"/>
      <c r="D35" s="227" t="str">
        <f>Sprachen!E24</f>
        <v>Gruppo vaso a sedere fino a 9 l di acqua di risciacquo</v>
      </c>
      <c r="E35" s="227">
        <v>2.5</v>
      </c>
      <c r="F35" s="651" t="str">
        <f t="shared" si="0"/>
        <v/>
      </c>
      <c r="G35" s="222">
        <f>IF(F35="",0,1)</f>
        <v>0</v>
      </c>
    </row>
    <row r="36" spans="1:7" ht="5.85" customHeight="1" thickBot="1" x14ac:dyDescent="0.3">
      <c r="A36" s="657"/>
      <c r="B36" s="222"/>
      <c r="D36" s="225"/>
      <c r="E36" s="225"/>
      <c r="F36" s="223"/>
      <c r="G36" s="224"/>
    </row>
    <row r="37" spans="1:7" x14ac:dyDescent="0.25">
      <c r="A37" s="657"/>
      <c r="B37" s="222"/>
      <c r="C37" s="615"/>
      <c r="D37" s="233" t="str">
        <f>Sprachen!E25</f>
        <v>Lavandino da parete per scuole</v>
      </c>
      <c r="E37" s="233">
        <v>0.5</v>
      </c>
      <c r="F37" s="651" t="str">
        <f t="shared" si="0"/>
        <v/>
      </c>
      <c r="G37" s="222"/>
    </row>
    <row r="38" spans="1:7" x14ac:dyDescent="0.25">
      <c r="A38" s="657"/>
      <c r="B38" s="222"/>
      <c r="C38" s="616"/>
      <c r="D38" s="223" t="str">
        <f>Sprachen!E26</f>
        <v>Lavabo lineare con massimo 3 punti di prelievo</v>
      </c>
      <c r="E38" s="223">
        <v>0.5</v>
      </c>
      <c r="F38" s="651" t="str">
        <f t="shared" si="0"/>
        <v/>
      </c>
      <c r="G38" s="222"/>
    </row>
    <row r="39" spans="1:7" ht="15.75" thickBot="1" x14ac:dyDescent="0.3">
      <c r="A39" s="657"/>
      <c r="B39" s="222"/>
      <c r="C39" s="617"/>
      <c r="D39" s="227" t="str">
        <f>Sprachen!E27</f>
        <v>Lavabo lineare con  4-10 punti di prelievo</v>
      </c>
      <c r="E39" s="227">
        <v>0.8</v>
      </c>
      <c r="F39" s="651" t="str">
        <f t="shared" si="0"/>
        <v/>
      </c>
      <c r="G39" s="222"/>
    </row>
    <row r="40" spans="1:7" ht="5.85" customHeight="1" thickBot="1" x14ac:dyDescent="0.3">
      <c r="A40" s="657"/>
      <c r="B40" s="222"/>
      <c r="D40" s="225"/>
      <c r="E40" s="225"/>
      <c r="F40" s="223"/>
      <c r="G40" s="224"/>
    </row>
    <row r="41" spans="1:7" x14ac:dyDescent="0.25">
      <c r="A41" s="657"/>
      <c r="B41" s="222"/>
      <c r="C41" s="615"/>
      <c r="D41" s="233" t="str">
        <f>Sprachen!E28</f>
        <v>Centrifuga per indumenti fino a 10 kg</v>
      </c>
      <c r="E41" s="233">
        <v>0.5</v>
      </c>
      <c r="F41" s="651" t="str">
        <f t="shared" si="0"/>
        <v/>
      </c>
      <c r="G41" s="222"/>
    </row>
    <row r="42" spans="1:7" x14ac:dyDescent="0.25">
      <c r="A42" s="657"/>
      <c r="B42" s="222"/>
      <c r="C42" s="616"/>
      <c r="D42" s="223" t="str">
        <f>Sprachen!E29</f>
        <v>Lavatrice fino a 6 kg</v>
      </c>
      <c r="E42" s="223">
        <v>0.8</v>
      </c>
      <c r="F42" s="651" t="str">
        <f t="shared" si="0"/>
        <v/>
      </c>
      <c r="G42" s="222"/>
    </row>
    <row r="43" spans="1:7" x14ac:dyDescent="0.25">
      <c r="A43" s="347"/>
      <c r="B43" s="222"/>
      <c r="C43" s="616"/>
      <c r="D43" s="223" t="str">
        <f>Sprachen!E30</f>
        <v>Lavatrice da 7 a 12 kg</v>
      </c>
      <c r="E43" s="223">
        <v>1.5</v>
      </c>
      <c r="F43" s="651" t="str">
        <f t="shared" si="0"/>
        <v/>
      </c>
      <c r="G43" s="222"/>
    </row>
    <row r="44" spans="1:7" x14ac:dyDescent="0.25">
      <c r="A44" s="347"/>
      <c r="B44" s="222"/>
      <c r="C44" s="616"/>
      <c r="D44" s="223" t="str">
        <f>Sprachen!E31</f>
        <v>Lavatrice da 13 a 40 kg</v>
      </c>
      <c r="E44" s="223">
        <v>2.5</v>
      </c>
      <c r="F44" s="651" t="str">
        <f t="shared" si="0"/>
        <v/>
      </c>
      <c r="G44" s="222"/>
    </row>
    <row r="45" spans="1:7" x14ac:dyDescent="0.25">
      <c r="A45" s="347"/>
      <c r="B45" s="222"/>
      <c r="C45" s="616"/>
      <c r="D45" s="223" t="str">
        <f>Sprachen!E32</f>
        <v>Lavastoviglie domestica</v>
      </c>
      <c r="E45" s="223">
        <v>0.8</v>
      </c>
      <c r="F45" s="651" t="str">
        <f t="shared" si="0"/>
        <v/>
      </c>
      <c r="G45" s="222"/>
    </row>
    <row r="46" spans="1:7" ht="15.75" thickBot="1" x14ac:dyDescent="0.3">
      <c r="A46" s="347"/>
      <c r="B46" s="222"/>
      <c r="C46" s="617"/>
      <c r="D46" s="227" t="str">
        <f>Sprachen!E33</f>
        <v>Lavastoviglie industriale</v>
      </c>
      <c r="E46" s="227">
        <v>1.5</v>
      </c>
      <c r="F46" s="651" t="str">
        <f t="shared" si="0"/>
        <v/>
      </c>
      <c r="G46" s="222"/>
    </row>
    <row r="47" spans="1:7" ht="5.85" customHeight="1" thickBot="1" x14ac:dyDescent="0.3">
      <c r="A47" s="347"/>
      <c r="B47" s="222"/>
      <c r="D47" s="225"/>
      <c r="E47" s="225"/>
      <c r="F47" s="223"/>
      <c r="G47" s="224"/>
    </row>
    <row r="48" spans="1:7" x14ac:dyDescent="0.25">
      <c r="A48" s="347"/>
      <c r="B48" s="222"/>
      <c r="C48" s="615"/>
      <c r="D48" s="233" t="str">
        <f>Sprachen!E34</f>
        <v>Lavatoio da parete</v>
      </c>
      <c r="E48" s="233">
        <v>0.8</v>
      </c>
      <c r="F48" s="651" t="str">
        <f t="shared" si="0"/>
        <v/>
      </c>
      <c r="G48" s="222"/>
    </row>
    <row r="49" spans="1:7" x14ac:dyDescent="0.25">
      <c r="A49" s="347"/>
      <c r="B49" s="222"/>
      <c r="C49" s="616"/>
      <c r="D49" s="223" t="str">
        <f>Sprachen!E35</f>
        <v>Doccia senza possibilità di formazione di polveri</v>
      </c>
      <c r="E49" s="223">
        <v>0.6</v>
      </c>
      <c r="F49" s="651" t="str">
        <f t="shared" si="0"/>
        <v/>
      </c>
      <c r="G49" s="222"/>
    </row>
    <row r="50" spans="1:7" x14ac:dyDescent="0.25">
      <c r="A50" s="347"/>
      <c r="B50" s="222"/>
      <c r="C50" s="616"/>
      <c r="D50" s="223" t="str">
        <f>Sprachen!E36</f>
        <v>Doccia con possibilità di formazione di polveri</v>
      </c>
      <c r="E50" s="223">
        <v>0.8</v>
      </c>
      <c r="F50" s="651" t="str">
        <f t="shared" si="0"/>
        <v/>
      </c>
      <c r="G50" s="222"/>
    </row>
    <row r="51" spans="1:7" x14ac:dyDescent="0.25">
      <c r="A51" s="347"/>
      <c r="B51" s="222"/>
      <c r="C51" s="616"/>
      <c r="D51" s="223" t="str">
        <f>Sprachen!E37</f>
        <v>Vasca da bagno</v>
      </c>
      <c r="E51" s="223">
        <v>0.8</v>
      </c>
      <c r="F51" s="651" t="str">
        <f t="shared" si="0"/>
        <v/>
      </c>
      <c r="G51" s="222"/>
    </row>
    <row r="52" spans="1:7" ht="15.75" thickBot="1" x14ac:dyDescent="0.3">
      <c r="A52" s="347"/>
      <c r="B52" s="222"/>
      <c r="C52" s="617"/>
      <c r="D52" s="227" t="str">
        <f>Sprachen!E38</f>
        <v>Grande vasca, vasca di reazione per sauna</v>
      </c>
      <c r="E52" s="227">
        <v>2.5</v>
      </c>
      <c r="F52" s="651" t="str">
        <f t="shared" si="0"/>
        <v/>
      </c>
      <c r="G52" s="222"/>
    </row>
    <row r="53" spans="1:7" ht="5.85" customHeight="1" thickBot="1" x14ac:dyDescent="0.3">
      <c r="A53" s="347"/>
      <c r="B53" s="222"/>
      <c r="D53" s="225"/>
      <c r="E53" s="225"/>
      <c r="F53" s="223"/>
      <c r="G53" s="224"/>
    </row>
    <row r="54" spans="1:7" x14ac:dyDescent="0.25">
      <c r="A54" s="347"/>
      <c r="B54" s="222"/>
      <c r="C54" s="615"/>
      <c r="D54" s="233" t="str">
        <f>Sprachen!E39</f>
        <v>Pozzetto di scarico DN 50</v>
      </c>
      <c r="E54" s="233">
        <v>0.8</v>
      </c>
      <c r="F54" s="651" t="str">
        <f t="shared" si="0"/>
        <v/>
      </c>
      <c r="G54" s="222"/>
    </row>
    <row r="55" spans="1:7" x14ac:dyDescent="0.25">
      <c r="A55" s="347"/>
      <c r="B55" s="222"/>
      <c r="C55" s="616"/>
      <c r="D55" s="223" t="str">
        <f>Sprachen!E40</f>
        <v>Pozzetto di scarico DN 56</v>
      </c>
      <c r="E55" s="223">
        <v>1</v>
      </c>
      <c r="F55" s="651" t="str">
        <f t="shared" si="0"/>
        <v/>
      </c>
      <c r="G55" s="222"/>
    </row>
    <row r="56" spans="1:7" x14ac:dyDescent="0.25">
      <c r="A56" s="347"/>
      <c r="B56" s="222"/>
      <c r="C56" s="616"/>
      <c r="D56" s="223" t="str">
        <f>Sprachen!E41</f>
        <v>Pozzetto di scarico DN 70</v>
      </c>
      <c r="E56" s="223">
        <v>1.5</v>
      </c>
      <c r="F56" s="651" t="str">
        <f t="shared" si="0"/>
        <v/>
      </c>
      <c r="G56" s="222"/>
    </row>
    <row r="57" spans="1:7" ht="15.75" thickBot="1" x14ac:dyDescent="0.3">
      <c r="A57" s="347"/>
      <c r="B57" s="222"/>
      <c r="C57" s="617"/>
      <c r="D57" s="227" t="str">
        <f>Sprachen!E42</f>
        <v>Pozzetto di scarico DN 100</v>
      </c>
      <c r="E57" s="227">
        <v>2</v>
      </c>
      <c r="F57" s="651" t="str">
        <f t="shared" si="0"/>
        <v/>
      </c>
      <c r="G57" s="222"/>
    </row>
    <row r="58" spans="1:7" ht="5.85" customHeight="1" thickBot="1" x14ac:dyDescent="0.3">
      <c r="A58" s="347"/>
      <c r="B58" s="222"/>
      <c r="C58" s="156"/>
      <c r="D58" s="225"/>
      <c r="E58" s="225"/>
      <c r="F58" s="225"/>
      <c r="G58" s="222"/>
    </row>
    <row r="59" spans="1:7" x14ac:dyDescent="0.25">
      <c r="A59" s="347"/>
      <c r="B59" s="222"/>
      <c r="C59" s="615"/>
      <c r="D59" s="233" t="str">
        <f>Sprachen!E43</f>
        <v>Casa monofamiliare piccola</v>
      </c>
      <c r="E59" s="233">
        <v>15</v>
      </c>
      <c r="F59" s="651" t="str">
        <f t="shared" si="0"/>
        <v/>
      </c>
      <c r="G59" s="222">
        <f>IF(F59="",0,1)</f>
        <v>0</v>
      </c>
    </row>
    <row r="60" spans="1:7" x14ac:dyDescent="0.25">
      <c r="A60" s="347"/>
      <c r="B60" s="222"/>
      <c r="C60" s="616"/>
      <c r="D60" s="223" t="str">
        <f>Sprachen!E44</f>
        <v>Casa monofamiliare media</v>
      </c>
      <c r="E60" s="223">
        <v>20</v>
      </c>
      <c r="F60" s="651" t="str">
        <f t="shared" si="0"/>
        <v/>
      </c>
      <c r="G60" s="222">
        <f>IF(F60="",0,1)</f>
        <v>0</v>
      </c>
    </row>
    <row r="61" spans="1:7" ht="15.75" thickBot="1" x14ac:dyDescent="0.3">
      <c r="A61" s="348"/>
      <c r="B61" s="222"/>
      <c r="C61" s="617"/>
      <c r="D61" s="227" t="str">
        <f>Sprachen!E45</f>
        <v>Casa monofamiliare grande</v>
      </c>
      <c r="E61" s="227">
        <v>25</v>
      </c>
      <c r="F61" s="651" t="str">
        <f t="shared" si="0"/>
        <v/>
      </c>
      <c r="G61" s="222">
        <f>IF(F61="",0,1)</f>
        <v>0</v>
      </c>
    </row>
    <row r="62" spans="1:7" ht="5.85" customHeight="1" x14ac:dyDescent="0.25">
      <c r="A62" s="17"/>
      <c r="D62" s="225"/>
      <c r="E62" s="225"/>
      <c r="F62" s="223"/>
      <c r="G62" s="222"/>
    </row>
    <row r="63" spans="1:7" ht="5.85" customHeight="1" x14ac:dyDescent="0.25">
      <c r="A63" s="17"/>
      <c r="D63" s="225"/>
      <c r="E63" s="225"/>
      <c r="F63" s="223"/>
      <c r="G63" s="222"/>
    </row>
    <row r="64" spans="1:7" ht="15" customHeight="1" thickBot="1" x14ac:dyDescent="0.3">
      <c r="C64" s="7" t="str">
        <f>$C$3</f>
        <v>Selettore pozzo V.5.2</v>
      </c>
      <c r="D64" s="225"/>
      <c r="E64" s="225"/>
      <c r="F64" s="223"/>
      <c r="G64" s="222"/>
    </row>
    <row r="65" spans="1:8" x14ac:dyDescent="0.25">
      <c r="A65" s="172"/>
      <c r="C65" s="615"/>
      <c r="D65" s="233" t="str">
        <f>Sprachen!E46</f>
        <v>Appartamento piccolo</v>
      </c>
      <c r="E65" s="233">
        <v>5</v>
      </c>
      <c r="F65" s="651" t="str">
        <f t="shared" si="0"/>
        <v/>
      </c>
      <c r="G65" s="222">
        <f>IF(F65="",0,1)</f>
        <v>0</v>
      </c>
    </row>
    <row r="66" spans="1:8" x14ac:dyDescent="0.25">
      <c r="A66" s="173"/>
      <c r="C66" s="616"/>
      <c r="D66" s="223" t="str">
        <f>Sprachen!E47</f>
        <v>Appartamento medio</v>
      </c>
      <c r="E66" s="223">
        <v>10</v>
      </c>
      <c r="F66" s="651" t="str">
        <f t="shared" si="0"/>
        <v/>
      </c>
      <c r="G66" s="222">
        <f>IF(F66="",0,1)</f>
        <v>0</v>
      </c>
    </row>
    <row r="67" spans="1:8" x14ac:dyDescent="0.25">
      <c r="A67" s="173"/>
      <c r="C67" s="616"/>
      <c r="D67" s="223" t="str">
        <f>Sprachen!E48</f>
        <v>Appartamento grande</v>
      </c>
      <c r="E67" s="223">
        <v>15</v>
      </c>
      <c r="F67" s="651" t="str">
        <f>IF(C67="","",C67*E67)</f>
        <v/>
      </c>
      <c r="G67" s="222">
        <f>IF(F67="",0,1)</f>
        <v>0</v>
      </c>
    </row>
    <row r="68" spans="1:8" ht="15.75" thickBot="1" x14ac:dyDescent="0.3">
      <c r="A68" s="173"/>
      <c r="C68" s="170"/>
      <c r="D68" s="226" t="str">
        <f>Sprachen!E49</f>
        <v>Stabilire manualmente DU</v>
      </c>
      <c r="E68" s="359" t="str">
        <f>IF(AND(C68&gt;0.1,Tabelle2!E5=FALSE),Sprachen!E51,"")</f>
        <v/>
      </c>
      <c r="F68" s="651" t="str">
        <f>IF(C68="","",C68)</f>
        <v/>
      </c>
      <c r="G68" s="222">
        <f>IF(Tabelle2!E5=TRUE,1,0)</f>
        <v>0</v>
      </c>
    </row>
    <row r="69" spans="1:8" ht="15.75" thickBot="1" x14ac:dyDescent="0.3">
      <c r="A69" s="173"/>
      <c r="D69" s="230" t="str">
        <f>"                                  "&amp;IF(AND(Tabelle2!E5=FALSE,Tabelle2!E4=FALSE,C68&gt;0.1),Sprachen!E50,"")</f>
        <v xml:space="preserve">                                  </v>
      </c>
      <c r="E69" s="360" t="str">
        <f>IF(AND(C68&gt;0.1,Tabelle2!E4=FALSE),Sprachen!E52,"")</f>
        <v/>
      </c>
      <c r="F69" s="227"/>
    </row>
    <row r="70" spans="1:8" ht="15.75" thickBot="1" x14ac:dyDescent="0.3">
      <c r="A70" s="173"/>
      <c r="C70" s="225"/>
      <c r="D70" s="225"/>
      <c r="E70" s="225"/>
      <c r="F70" s="229" t="str">
        <f>IF(SUM(F23:F68)=0,"",SUM(F23:F68))</f>
        <v/>
      </c>
      <c r="G70" s="228">
        <f>SUM(G23:G68)</f>
        <v>0</v>
      </c>
    </row>
    <row r="71" spans="1:8" ht="5.85" customHeight="1" thickBot="1" x14ac:dyDescent="0.3">
      <c r="A71" s="173"/>
      <c r="C71" s="225"/>
      <c r="D71" s="225"/>
      <c r="E71" s="225"/>
      <c r="F71" s="223"/>
      <c r="G71" s="222"/>
    </row>
    <row r="72" spans="1:8" x14ac:dyDescent="0.25">
      <c r="A72" s="173"/>
      <c r="C72" s="231"/>
      <c r="D72" s="232" t="str">
        <f>Sprachen!E54</f>
        <v>Fattore di contemporaneità (valore K)</v>
      </c>
      <c r="E72" s="233"/>
      <c r="F72" s="233"/>
      <c r="G72" s="234" t="s">
        <v>37</v>
      </c>
    </row>
    <row r="73" spans="1:8" x14ac:dyDescent="0.25">
      <c r="A73" s="173"/>
      <c r="C73" s="235"/>
      <c r="D73" s="223" t="str">
        <f>Sprachen!E55</f>
        <v>Uso irregolare, ad es. edifici residenziali, pensioni, uffici</v>
      </c>
      <c r="E73" s="223"/>
      <c r="F73" s="223"/>
      <c r="G73" s="652">
        <v>0.5</v>
      </c>
    </row>
    <row r="74" spans="1:8" x14ac:dyDescent="0.25">
      <c r="A74" s="173"/>
      <c r="C74" s="235"/>
      <c r="D74" s="223" t="str">
        <f>Sprachen!E56</f>
        <v>Uso regolare, ad es. ospedali, scuole, ristoranti, alberghi</v>
      </c>
      <c r="E74" s="223"/>
      <c r="F74" s="223"/>
      <c r="G74" s="652">
        <v>0.7</v>
      </c>
    </row>
    <row r="75" spans="1:8" x14ac:dyDescent="0.25">
      <c r="A75" s="173"/>
      <c r="C75" s="235"/>
      <c r="D75" s="223" t="str">
        <f>Sprachen!E57</f>
        <v>Uso frequente, ad es. in bagni e/o docce pubbliche</v>
      </c>
      <c r="E75" s="223"/>
      <c r="F75" s="223"/>
      <c r="G75" s="652">
        <v>1</v>
      </c>
    </row>
    <row r="76" spans="1:8" ht="15.75" thickBot="1" x14ac:dyDescent="0.3">
      <c r="A76" s="173"/>
      <c r="C76" s="236"/>
      <c r="D76" s="227" t="str">
        <f>Sprachen!E58</f>
        <v>Uso speciale, ad es. laboratori</v>
      </c>
      <c r="E76" s="227"/>
      <c r="F76" s="227"/>
      <c r="G76" s="652">
        <v>1.2</v>
      </c>
    </row>
    <row r="77" spans="1:8" ht="5.85" customHeight="1" thickBot="1" x14ac:dyDescent="0.3">
      <c r="A77" s="173"/>
      <c r="C77" s="225"/>
      <c r="D77" s="225"/>
      <c r="E77" s="225"/>
      <c r="F77" s="223"/>
      <c r="G77" s="224"/>
    </row>
    <row r="78" spans="1:8" x14ac:dyDescent="0.25">
      <c r="A78" s="173"/>
      <c r="C78" s="237"/>
      <c r="D78" s="238" t="str">
        <f>Sprachen!E59</f>
        <v>Afflusso totale di acque reflue risultante dal calcolo DU:</v>
      </c>
      <c r="E78" s="233"/>
      <c r="F78" s="233"/>
      <c r="G78" s="655" t="str">
        <f>IFERROR(SQRT(F70),"")</f>
        <v/>
      </c>
    </row>
    <row r="79" spans="1:8" ht="15.75" thickBot="1" x14ac:dyDescent="0.3">
      <c r="A79" s="173"/>
      <c r="C79" s="235"/>
      <c r="D79" s="239" t="str">
        <f>Sprachen!E60</f>
        <v>Afflusso di acque cariche risultante dal calcolo DU (l/s):</v>
      </c>
      <c r="E79" s="223"/>
      <c r="F79" s="223"/>
      <c r="G79" s="655">
        <f>IF(Tabelle2!A9=TRUE,Schachtselector!G76*G78,IF(Tabelle2!A8=TRUE,Schachtselector!G75*G78,IF(Tabelle2!A7=TRUE,Schachtselector!G74*G78,IF(Tabelle2!A6=TRUE,G73*G78,0))))</f>
        <v>0</v>
      </c>
      <c r="H79" s="16"/>
    </row>
    <row r="80" spans="1:8" ht="15.75" thickBot="1" x14ac:dyDescent="0.3">
      <c r="A80" s="174"/>
      <c r="C80" s="614"/>
      <c r="D80" s="226" t="str">
        <f>Sprachen!E61</f>
        <v>Altri scarichi singoli in l/s</v>
      </c>
      <c r="E80" s="227"/>
      <c r="F80" s="240"/>
      <c r="G80" s="655" t="str">
        <f>IF(C80=0,"",C80)</f>
        <v/>
      </c>
    </row>
    <row r="81" spans="1:7" ht="5.85" customHeight="1" thickBot="1" x14ac:dyDescent="0.3">
      <c r="D81" s="8"/>
      <c r="E81" s="8"/>
      <c r="F81" s="8"/>
    </row>
    <row r="82" spans="1:7" ht="15" customHeight="1" thickBot="1" x14ac:dyDescent="0.3">
      <c r="A82" s="241" t="str">
        <f>Sprachen!E222</f>
        <v>Posa diretta</v>
      </c>
      <c r="B82" s="242"/>
      <c r="C82" s="243"/>
      <c r="D82" s="243"/>
      <c r="E82" s="244" t="str">
        <f>IF(AND(Tabelle2!E7=FALSE,Tabelle2!E8=FALSE,C83&gt;0.1),Sprachen!E97,"")</f>
        <v/>
      </c>
      <c r="F82" s="243"/>
      <c r="G82" s="245"/>
    </row>
    <row r="83" spans="1:7" ht="15" customHeight="1" thickBot="1" x14ac:dyDescent="0.3">
      <c r="A83" s="281"/>
      <c r="C83" s="217"/>
      <c r="D83" s="223" t="str">
        <f>Sprachen!E66</f>
        <v>Afflusso totale di acque reflue in l/s forfait:</v>
      </c>
      <c r="E83" s="352" t="str">
        <f>IF(AND(C83&gt;0,Tabelle2!E8=FALSE),Sprachen!E98,"")</f>
        <v/>
      </c>
      <c r="F83" s="225"/>
      <c r="G83" s="650">
        <f>C83</f>
        <v>0</v>
      </c>
    </row>
    <row r="84" spans="1:7" ht="15" customHeight="1" thickBot="1" x14ac:dyDescent="0.3">
      <c r="A84" s="282"/>
      <c r="C84" s="48"/>
      <c r="D84" s="246" t="str">
        <f>IF(C83&gt;0.1,Sprachen!E96,"")</f>
        <v/>
      </c>
      <c r="E84" s="358" t="str">
        <f>IF(AND(C83&gt;0,Tabelle2!E7=FALSE),Sprachen!E99,"")</f>
        <v/>
      </c>
      <c r="F84" s="240"/>
      <c r="G84" s="651"/>
    </row>
    <row r="85" spans="1:7" ht="5.85" customHeight="1" thickBot="1" x14ac:dyDescent="0.3">
      <c r="A85" s="283"/>
      <c r="D85" s="247"/>
      <c r="E85" s="247"/>
      <c r="F85" s="247"/>
      <c r="G85" s="225"/>
    </row>
    <row r="86" spans="1:7" ht="15.75" customHeight="1" thickBot="1" x14ac:dyDescent="0.3">
      <c r="A86" s="663" t="str">
        <f>Sprachen!E247</f>
        <v>Posa diretta dettagli (opzionale)</v>
      </c>
      <c r="C86" s="171"/>
      <c r="D86" s="349" t="str">
        <f>Sprachen!E62</f>
        <v>Singolo scarico continuo in l/s</v>
      </c>
      <c r="E86" s="223"/>
      <c r="F86" s="248"/>
      <c r="G86" s="651">
        <f>IF(C86=0,0,C86)</f>
        <v>0</v>
      </c>
    </row>
    <row r="87" spans="1:7" ht="15.75" customHeight="1" thickBot="1" x14ac:dyDescent="0.3">
      <c r="A87" s="664"/>
      <c r="C87" s="171"/>
      <c r="D87" s="349" t="str">
        <f>Sprachen!E63&amp;"       "&amp;Sprachen!E64</f>
        <v>Scolo dell'acqua piovana singolo in m²       Quantità media di pioggia (CH 0,03 l/sm²)</v>
      </c>
      <c r="E87" s="223"/>
      <c r="F87" s="223"/>
      <c r="G87" s="651">
        <f>IF(C88&gt;0.001,C87*C88*Tabelle2!M19,C87*0.03*Tabelle2!M19)</f>
        <v>0</v>
      </c>
    </row>
    <row r="88" spans="1:7" ht="15.75" thickBot="1" x14ac:dyDescent="0.3">
      <c r="A88" s="664"/>
      <c r="C88" s="15"/>
      <c r="D88" s="349" t="str">
        <f>Sprachen!E65</f>
        <v>valore divergente dalla quantità media di pioggia in l/sm²</v>
      </c>
      <c r="E88" s="225"/>
      <c r="F88" s="225"/>
      <c r="G88" s="223"/>
    </row>
    <row r="89" spans="1:7" x14ac:dyDescent="0.25">
      <c r="A89" s="664"/>
      <c r="C89" s="94"/>
      <c r="D89" s="249" t="str">
        <f>"         "&amp;Sprachen!E239</f>
        <v xml:space="preserve">         Posti e vie</v>
      </c>
      <c r="E89" s="250" t="str">
        <f>"         "&amp;Sprachen!E240</f>
        <v xml:space="preserve">         Copertura verde spessore strutturale</v>
      </c>
      <c r="F89" s="251"/>
      <c r="G89" s="223"/>
    </row>
    <row r="90" spans="1:7" x14ac:dyDescent="0.25">
      <c r="A90" s="664"/>
      <c r="C90" s="94"/>
      <c r="D90" s="252" t="str">
        <f>"            "&amp;Sprachen!E241</f>
        <v xml:space="preserve">            Con rivestimento duro (1.0)</v>
      </c>
      <c r="E90" s="253" t="s">
        <v>635</v>
      </c>
      <c r="F90" s="254"/>
      <c r="G90" s="223"/>
    </row>
    <row r="91" spans="1:7" x14ac:dyDescent="0.25">
      <c r="A91" s="664"/>
      <c r="C91" s="94"/>
      <c r="D91" s="255" t="str">
        <f>"            "&amp;Sprachen!E242</f>
        <v xml:space="preserve">            Con rivestimento in ghiaia (0.6)</v>
      </c>
      <c r="E91" s="253" t="s">
        <v>636</v>
      </c>
      <c r="F91" s="254"/>
      <c r="G91" s="223"/>
    </row>
    <row r="92" spans="1:7" x14ac:dyDescent="0.25">
      <c r="A92" s="664"/>
      <c r="C92" s="94"/>
      <c r="D92" s="255" t="str">
        <f>"            "&amp;Sprachen!E243</f>
        <v xml:space="preserve">            Con sistema ecologico (fughe di piestrisco) (0.6)</v>
      </c>
      <c r="E92" s="253" t="s">
        <v>637</v>
      </c>
      <c r="F92" s="254"/>
      <c r="G92" s="223"/>
    </row>
    <row r="93" spans="1:7" x14ac:dyDescent="0.25">
      <c r="A93" s="664"/>
      <c r="C93" s="94"/>
      <c r="D93" s="255" t="str">
        <f>"            "&amp;Sprachen!E244</f>
        <v xml:space="preserve">            Con rivestimento percolante (0.6)</v>
      </c>
      <c r="E93" s="256" t="s">
        <v>2090</v>
      </c>
      <c r="F93" s="257"/>
      <c r="G93" s="223"/>
    </row>
    <row r="94" spans="1:7" x14ac:dyDescent="0.25">
      <c r="A94" s="664"/>
      <c r="C94" s="94"/>
      <c r="D94" s="255" t="str">
        <f>"            "&amp;Sprachen!E245</f>
        <v xml:space="preserve">            Con manufatti drenanti (0.2)</v>
      </c>
      <c r="E94" s="225"/>
      <c r="F94" s="225"/>
      <c r="G94" s="223"/>
    </row>
    <row r="95" spans="1:7" ht="15.75" thickBot="1" x14ac:dyDescent="0.3">
      <c r="A95" s="665"/>
      <c r="C95" s="169"/>
      <c r="D95" s="258" t="str">
        <f>"            "&amp;Sprachen!E246</f>
        <v xml:space="preserve">            Con mattonato per tappeti erbosi (0.2)</v>
      </c>
      <c r="E95" s="227"/>
      <c r="F95" s="227"/>
      <c r="G95" s="225"/>
    </row>
    <row r="96" spans="1:7" ht="5.85" customHeight="1" thickBot="1" x14ac:dyDescent="0.3">
      <c r="A96" s="225"/>
      <c r="D96" s="225"/>
      <c r="E96" s="225"/>
      <c r="F96" s="225"/>
      <c r="G96" s="225"/>
    </row>
    <row r="97" spans="1:7" ht="15.75" thickBot="1" x14ac:dyDescent="0.3">
      <c r="A97" s="658" t="str">
        <f>Sprachen!E223</f>
        <v>Risultato</v>
      </c>
      <c r="B97" s="221"/>
      <c r="C97" s="219"/>
      <c r="D97" s="259"/>
      <c r="E97" s="260"/>
      <c r="F97" s="259" t="str">
        <f>Sprachen!E67</f>
        <v>Afflusso totale di acque reflue in l/s:</v>
      </c>
      <c r="G97" s="261">
        <f>Tabelle2!E13</f>
        <v>0</v>
      </c>
    </row>
    <row r="98" spans="1:7" ht="15.75" thickBot="1" x14ac:dyDescent="0.3">
      <c r="A98" s="659"/>
      <c r="D98" s="246"/>
      <c r="E98" s="227"/>
      <c r="F98" s="227"/>
      <c r="G98" s="607" t="str">
        <f>Sprachen!E224</f>
        <v>Volume in L</v>
      </c>
    </row>
    <row r="99" spans="1:7" x14ac:dyDescent="0.25">
      <c r="A99" s="659"/>
      <c r="D99" s="262" t="str">
        <f>Sprachen!E68</f>
        <v>Volume utile</v>
      </c>
      <c r="E99" s="225"/>
      <c r="F99" s="225"/>
      <c r="G99" s="653" t="str">
        <f>IF(G97*60=0,"",G97*60)</f>
        <v/>
      </c>
    </row>
    <row r="100" spans="1:7" x14ac:dyDescent="0.25">
      <c r="A100" s="659"/>
      <c r="D100" s="262" t="str">
        <f>Sprachen!E69</f>
        <v>Volume di riserva</v>
      </c>
      <c r="E100" s="225"/>
      <c r="F100" s="225"/>
      <c r="G100" s="653" t="e">
        <f>IF(VALUE(G87),G99*2+(C87*50),G99*2)</f>
        <v>#VALUE!</v>
      </c>
    </row>
    <row r="101" spans="1:7" ht="15.75" thickBot="1" x14ac:dyDescent="0.3">
      <c r="A101" s="660"/>
      <c r="D101" s="263" t="str">
        <f>Sprachen!E70</f>
        <v>Volume del pozzo in l senza pozzetto</v>
      </c>
      <c r="E101" s="227"/>
      <c r="F101" s="240"/>
      <c r="G101" s="653" t="e">
        <f>SUM(G99:G100)</f>
        <v>#VALUE!</v>
      </c>
    </row>
    <row r="102" spans="1:7" ht="5.85" customHeight="1" thickBot="1" x14ac:dyDescent="0.3">
      <c r="A102" s="225"/>
      <c r="C102" s="10"/>
      <c r="D102" s="246"/>
      <c r="E102" s="246"/>
      <c r="F102" s="246"/>
      <c r="G102" s="264"/>
    </row>
    <row r="103" spans="1:7" ht="13.5" customHeight="1" thickBot="1" x14ac:dyDescent="0.3">
      <c r="A103" s="284"/>
      <c r="B103" s="220"/>
      <c r="C103" s="218"/>
      <c r="D103" s="265" t="str">
        <f>Sprachen!E71</f>
        <v>Tipo di installazione:</v>
      </c>
      <c r="E103" s="266"/>
      <c r="F103" s="267"/>
      <c r="G103" s="268"/>
    </row>
    <row r="104" spans="1:7" x14ac:dyDescent="0.25">
      <c r="A104" s="285"/>
      <c r="C104" s="46"/>
      <c r="D104" s="350" t="str">
        <f>Sprachen!E72</f>
        <v>BF 11 Installazione in ambiente umido con sistema di raccordo</v>
      </c>
      <c r="E104" s="270"/>
      <c r="F104" s="269" t="str">
        <f>Sprachen!E86</f>
        <v>Impianto singolo</v>
      </c>
      <c r="G104" s="233"/>
    </row>
    <row r="105" spans="1:7" ht="15.75" thickBot="1" x14ac:dyDescent="0.3">
      <c r="A105" s="286"/>
      <c r="C105" s="49"/>
      <c r="D105" s="351" t="str">
        <f>Sprachen!E73</f>
        <v>BF 12 Installazione in ambiente umido con piede di appoggio</v>
      </c>
      <c r="E105" s="272"/>
      <c r="F105" s="271" t="str">
        <f>Sprachen!E87</f>
        <v>Impianto doppio</v>
      </c>
      <c r="G105" s="227"/>
    </row>
    <row r="106" spans="1:7" ht="5.85" customHeight="1" thickBot="1" x14ac:dyDescent="0.3">
      <c r="A106" s="225"/>
      <c r="D106" s="225"/>
      <c r="E106" s="225"/>
      <c r="F106" s="225"/>
      <c r="G106" s="225"/>
    </row>
    <row r="107" spans="1:7" ht="14.25" customHeight="1" thickBot="1" x14ac:dyDescent="0.3">
      <c r="A107" s="284"/>
      <c r="B107" s="220"/>
      <c r="C107" s="218"/>
      <c r="D107" s="265" t="str">
        <f>Sprachen!E74</f>
        <v>Scelta della pompa</v>
      </c>
      <c r="E107" s="266"/>
      <c r="F107" s="267"/>
      <c r="G107" s="268"/>
    </row>
    <row r="108" spans="1:7" x14ac:dyDescent="0.25">
      <c r="A108" s="285"/>
      <c r="C108" s="269"/>
      <c r="D108" s="273" t="str">
        <f>IF(Tabelle2!G5=TRUE,"",Sprachen!E75)</f>
        <v>Birox: 80</v>
      </c>
      <c r="E108" s="233"/>
      <c r="F108" s="232" t="str">
        <f>IF(Tabelle2!$G$5=TRUE,"",Sprachen!E88)</f>
        <v>TopLine 40 /50</v>
      </c>
      <c r="G108" s="233"/>
    </row>
    <row r="109" spans="1:7" x14ac:dyDescent="0.25">
      <c r="A109" s="285"/>
      <c r="C109" s="223"/>
      <c r="D109" s="274" t="str">
        <f>IF(Tabelle2!$G$5=TRUE,"",Sprachen!E76)</f>
        <v>Birox: 90</v>
      </c>
      <c r="E109" s="223"/>
      <c r="F109" s="275" t="str">
        <f>IF(Tabelle2!$G$5=TRUE,"",Sprachen!E89)</f>
        <v>TopLine 65</v>
      </c>
      <c r="G109" s="223"/>
    </row>
    <row r="110" spans="1:7" x14ac:dyDescent="0.25">
      <c r="A110" s="285"/>
      <c r="C110" s="223"/>
      <c r="D110" s="274" t="str">
        <f>IF(Tabelle2!$G$5=TRUE,"",Sprachen!E77)</f>
        <v>Birox: 100/150</v>
      </c>
      <c r="E110" s="276" t="str">
        <f>IF(Tabelle2!$A$28=TRUE,IF(Tabelle2!B43&gt;0.1,Sprachen!E248,""),"")</f>
        <v/>
      </c>
      <c r="F110" s="225"/>
      <c r="G110" s="223"/>
    </row>
    <row r="111" spans="1:7" ht="15.75" thickBot="1" x14ac:dyDescent="0.3">
      <c r="A111" s="285"/>
      <c r="C111" s="227"/>
      <c r="D111" s="274" t="str">
        <f>IF(Tabelle2!$G$5=TRUE,"",Sprachen!E78)</f>
        <v>Birox: 200</v>
      </c>
      <c r="E111" s="278" t="str">
        <f>IF(Tabelle2!A29=FALSE,"",IF(Tabelle2!W130=TRUE,Sprachen!E225,""))</f>
        <v/>
      </c>
      <c r="F111" s="227"/>
      <c r="G111" s="227"/>
    </row>
    <row r="112" spans="1:7" x14ac:dyDescent="0.25">
      <c r="A112" s="285"/>
      <c r="C112" s="232"/>
      <c r="D112" s="232" t="str">
        <f>Sprachen!E79</f>
        <v>FMX 50-160 / 50-187</v>
      </c>
      <c r="E112" s="279"/>
      <c r="F112" s="275" t="str">
        <f>Sprachen!E90</f>
        <v>FSX  50-155</v>
      </c>
      <c r="G112" s="225"/>
    </row>
    <row r="113" spans="1:12" ht="15.75" thickBot="1" x14ac:dyDescent="0.3">
      <c r="A113" s="285"/>
      <c r="C113" s="246"/>
      <c r="D113" s="246" t="str">
        <f>Sprachen!E80</f>
        <v>FMX 50-198 / 50-219</v>
      </c>
      <c r="E113" s="271"/>
      <c r="F113" s="246" t="str">
        <f>Sprachen!E91</f>
        <v xml:space="preserve">FMX 50-98 / 50-135 </v>
      </c>
      <c r="G113" s="227"/>
    </row>
    <row r="114" spans="1:12" x14ac:dyDescent="0.25">
      <c r="A114" s="285"/>
      <c r="C114" s="232"/>
      <c r="D114" s="273" t="str">
        <f>Sprachen!E81</f>
        <v>FEX 80</v>
      </c>
      <c r="E114" s="280"/>
      <c r="F114" s="274" t="str">
        <f>Sprachen!E92</f>
        <v>FWX 80</v>
      </c>
      <c r="G114" s="225"/>
    </row>
    <row r="115" spans="1:12" x14ac:dyDescent="0.25">
      <c r="A115" s="285"/>
      <c r="C115" s="223"/>
      <c r="D115" s="274" t="str">
        <f>Sprachen!E82</f>
        <v>FEX 100</v>
      </c>
      <c r="E115" s="223"/>
      <c r="F115" s="274" t="str">
        <f>Sprachen!E93</f>
        <v>FWX 100</v>
      </c>
      <c r="G115" s="225"/>
    </row>
    <row r="116" spans="1:12" ht="15.75" thickBot="1" x14ac:dyDescent="0.3">
      <c r="A116" s="285"/>
      <c r="C116" s="227"/>
      <c r="D116" s="277" t="str">
        <f>Sprachen!E83</f>
        <v>FEX 150</v>
      </c>
      <c r="E116" s="278"/>
      <c r="F116" s="227"/>
      <c r="G116" s="227"/>
    </row>
    <row r="117" spans="1:12" ht="15.75" thickBot="1" x14ac:dyDescent="0.3">
      <c r="A117" s="285"/>
      <c r="C117" s="233"/>
      <c r="D117" s="289" t="str">
        <f>Sprachen!E84</f>
        <v>Pompa spec.</v>
      </c>
      <c r="E117" s="614"/>
      <c r="F117" s="225" t="str">
        <f>Sprachen!E94</f>
        <v>Aumento pozzetto in mm</v>
      </c>
      <c r="G117" s="225"/>
      <c r="H117" s="225"/>
    </row>
    <row r="118" spans="1:12" ht="15.75" thickBot="1" x14ac:dyDescent="0.3">
      <c r="A118" s="285"/>
      <c r="C118" s="614"/>
      <c r="D118" s="287" t="str">
        <f>Sprachen!E85</f>
        <v>Pozzetto in mm</v>
      </c>
      <c r="E118" s="654">
        <f>IF(OR(G86&gt;0.01,G87&gt;0.01),Tabelle2!$G$58*10+E117+Tabelle2!A72,Tabelle2!$G$58*10+E117)</f>
        <v>0</v>
      </c>
      <c r="F118" s="288" t="str">
        <f>Sprachen!E95</f>
        <v>mm pozzetto della pompa</v>
      </c>
      <c r="G118" s="227"/>
    </row>
    <row r="119" spans="1:12" ht="15.75" thickBot="1" x14ac:dyDescent="0.3">
      <c r="A119" s="286"/>
      <c r="C119" s="92"/>
      <c r="D119" s="368" t="str">
        <f>IF(Tabelle2!C56=1,"",IF(Tabelle2!C56&gt;=2,Sprachen!E100,""))</f>
        <v/>
      </c>
      <c r="E119" s="247"/>
      <c r="F119" s="247"/>
      <c r="G119" s="247"/>
    </row>
    <row r="120" spans="1:12" x14ac:dyDescent="0.25">
      <c r="C120" s="196" t="str">
        <f>$C$178</f>
        <v>Selettore pozzo V.5.2</v>
      </c>
      <c r="D120" s="112"/>
      <c r="E120" s="112"/>
      <c r="F120" s="112"/>
      <c r="G120" s="112"/>
    </row>
    <row r="121" spans="1:12" ht="5.85" customHeight="1" thickBot="1" x14ac:dyDescent="0.3">
      <c r="F121" s="112"/>
      <c r="G121" s="112"/>
    </row>
    <row r="122" spans="1:12" ht="15.75" thickBot="1" x14ac:dyDescent="0.3">
      <c r="A122" s="290"/>
      <c r="B122" s="291"/>
      <c r="C122" s="292" t="str">
        <f>Sprachen!E102</f>
        <v>Valutazione (tutte le dimensioni in mm):</v>
      </c>
      <c r="D122" s="293"/>
      <c r="E122" s="294"/>
      <c r="F122" s="293"/>
      <c r="G122" s="295"/>
    </row>
    <row r="123" spans="1:12" ht="5.85" customHeight="1" thickBot="1" x14ac:dyDescent="0.3">
      <c r="A123" s="296"/>
      <c r="B123" s="222"/>
      <c r="C123" s="225"/>
      <c r="D123" s="225"/>
      <c r="E123" s="225"/>
      <c r="F123" s="222"/>
      <c r="G123" s="222"/>
    </row>
    <row r="124" spans="1:12" ht="15.75" thickBot="1" x14ac:dyDescent="0.3">
      <c r="A124" s="296"/>
      <c r="B124" s="222" t="e">
        <f>Tabelle2!Q51</f>
        <v>#VALUE!</v>
      </c>
      <c r="C124" s="297" t="s">
        <v>1906</v>
      </c>
      <c r="D124" s="298"/>
      <c r="E124" s="299" t="e">
        <f>Tabelle2!$Q$52</f>
        <v>#VALUE!</v>
      </c>
      <c r="F124" s="300"/>
      <c r="G124" s="301" t="str">
        <f>Sprachen!E$109</f>
        <v>Selezionare pozzo</v>
      </c>
    </row>
    <row r="125" spans="1:12" x14ac:dyDescent="0.25">
      <c r="A125" s="296"/>
      <c r="B125" s="222"/>
      <c r="C125" s="361" t="str">
        <f>Sprachen!E$103</f>
        <v>H utile</v>
      </c>
      <c r="D125" s="362" t="str">
        <f>Sprachen!E$104</f>
        <v>H totale incl. coperchio + fondo</v>
      </c>
      <c r="E125" s="362" t="str">
        <f>Sprachen!E$105</f>
        <v>H volume del pozzetto</v>
      </c>
      <c r="F125" s="362" t="str">
        <f>Sprachen!E$106</f>
        <v>H volume utile</v>
      </c>
      <c r="G125" s="363" t="str">
        <f>Sprachen!E$107</f>
        <v>H volume di riserva</v>
      </c>
    </row>
    <row r="126" spans="1:12" ht="15.75" thickBot="1" x14ac:dyDescent="0.3">
      <c r="A126" s="296"/>
      <c r="B126" s="222"/>
      <c r="C126" s="302" t="e">
        <f>Tabelle2!$Q$33*10</f>
        <v>#VALUE!</v>
      </c>
      <c r="D126" s="303">
        <v>1110</v>
      </c>
      <c r="E126" s="304">
        <f>Tabelle2!$Q$25*10</f>
        <v>0</v>
      </c>
      <c r="F126" s="304" t="e">
        <f>(Tabelle2!$Q$23)*10</f>
        <v>#VALUE!</v>
      </c>
      <c r="G126" s="305" t="e">
        <f>(Tabelle2!Q24+Tabelle2!Q30)*10</f>
        <v>#VALUE!</v>
      </c>
    </row>
    <row r="127" spans="1:12" x14ac:dyDescent="0.25">
      <c r="A127" s="296"/>
      <c r="B127" s="222"/>
      <c r="C127" s="666" t="str">
        <f>Tabelle2!Q67</f>
        <v xml:space="preserve"> /  /  /  /  /  /  /  /  / </v>
      </c>
      <c r="D127" s="667"/>
      <c r="E127" s="667"/>
      <c r="F127" s="667"/>
      <c r="G127" s="668"/>
    </row>
    <row r="128" spans="1:12" ht="15.75" thickBot="1" x14ac:dyDescent="0.3">
      <c r="A128" s="296"/>
      <c r="B128" s="222"/>
      <c r="C128" s="669"/>
      <c r="D128" s="670"/>
      <c r="E128" s="670"/>
      <c r="F128" s="670"/>
      <c r="G128" s="671"/>
      <c r="L128" t="s">
        <v>1183</v>
      </c>
    </row>
    <row r="129" spans="1:7" ht="5.85" customHeight="1" thickBot="1" x14ac:dyDescent="0.3">
      <c r="A129" s="296"/>
      <c r="B129" s="222"/>
      <c r="C129" s="225"/>
      <c r="D129" s="225"/>
      <c r="E129" s="225"/>
      <c r="F129" s="222"/>
      <c r="G129" s="222"/>
    </row>
    <row r="130" spans="1:7" ht="14.1" customHeight="1" thickBot="1" x14ac:dyDescent="0.3">
      <c r="A130" s="296"/>
      <c r="B130" s="222" t="e">
        <f>Tabelle2!T51</f>
        <v>#VALUE!</v>
      </c>
      <c r="C130" s="297" t="s">
        <v>113</v>
      </c>
      <c r="D130" s="298"/>
      <c r="E130" s="306" t="e">
        <f>Tabelle2!$T$52</f>
        <v>#VALUE!</v>
      </c>
      <c r="F130" s="307"/>
      <c r="G130" s="308" t="str">
        <f>G124</f>
        <v>Selezionare pozzo</v>
      </c>
    </row>
    <row r="131" spans="1:7" ht="14.1" customHeight="1" thickBot="1" x14ac:dyDescent="0.3">
      <c r="A131" s="296"/>
      <c r="B131" s="222"/>
      <c r="C131" s="309"/>
      <c r="D131" s="310" t="str">
        <f>Sprachen!E108</f>
        <v>Scelta coperchio:</v>
      </c>
      <c r="E131" s="311" t="s">
        <v>257</v>
      </c>
      <c r="F131" s="311" t="s">
        <v>258</v>
      </c>
      <c r="G131" s="312" t="s">
        <v>259</v>
      </c>
    </row>
    <row r="132" spans="1:7" ht="14.1" customHeight="1" x14ac:dyDescent="0.25">
      <c r="A132" s="296"/>
      <c r="B132" s="222"/>
      <c r="C132" s="361" t="str">
        <f>Sprachen!E$103</f>
        <v>H utile</v>
      </c>
      <c r="D132" s="362" t="str">
        <f>Sprachen!E$104</f>
        <v>H totale incl. coperchio + fondo</v>
      </c>
      <c r="E132" s="362" t="str">
        <f>Sprachen!E$105</f>
        <v>H volume del pozzetto</v>
      </c>
      <c r="F132" s="362" t="str">
        <f>Sprachen!E$106</f>
        <v>H volume utile</v>
      </c>
      <c r="G132" s="363" t="str">
        <f>Sprachen!E$107</f>
        <v>H volume di riserva</v>
      </c>
    </row>
    <row r="133" spans="1:7" ht="14.1" customHeight="1" thickBot="1" x14ac:dyDescent="0.3">
      <c r="A133" s="296"/>
      <c r="B133" s="222"/>
      <c r="C133" s="302" t="e">
        <f>Tabelle2!$T$33*10</f>
        <v>#VALUE!</v>
      </c>
      <c r="D133" s="303" t="e">
        <f>Tabelle2!T35*10</f>
        <v>#VALUE!</v>
      </c>
      <c r="E133" s="313">
        <f>Tabelle2!T25*10</f>
        <v>0</v>
      </c>
      <c r="F133" s="313" t="e">
        <f>(Tabelle2!T23+Tabelle2!T29)*10</f>
        <v>#VALUE!</v>
      </c>
      <c r="G133" s="314" t="e">
        <f>(Tabelle2!T24+Tabelle2!T30)*10</f>
        <v>#VALUE!</v>
      </c>
    </row>
    <row r="134" spans="1:7" ht="15" customHeight="1" x14ac:dyDescent="0.25">
      <c r="A134" s="296"/>
      <c r="B134" s="222"/>
      <c r="C134" s="681" t="str">
        <f>Tabelle2!$Q$68</f>
        <v xml:space="preserve"> /  /  /  /  /  /  /  /  / </v>
      </c>
      <c r="D134" s="682"/>
      <c r="E134" s="682"/>
      <c r="F134" s="682"/>
      <c r="G134" s="683"/>
    </row>
    <row r="135" spans="1:7" ht="15" customHeight="1" thickBot="1" x14ac:dyDescent="0.3">
      <c r="A135" s="296"/>
      <c r="B135" s="222"/>
      <c r="C135" s="669"/>
      <c r="D135" s="670"/>
      <c r="E135" s="670"/>
      <c r="F135" s="670"/>
      <c r="G135" s="671"/>
    </row>
    <row r="136" spans="1:7" ht="5.85" customHeight="1" thickBot="1" x14ac:dyDescent="0.3">
      <c r="A136" s="296"/>
      <c r="B136" s="222"/>
      <c r="C136" s="225"/>
      <c r="D136" s="225"/>
      <c r="E136" s="225"/>
      <c r="F136" s="222"/>
      <c r="G136" s="222"/>
    </row>
    <row r="137" spans="1:7" ht="15" customHeight="1" thickBot="1" x14ac:dyDescent="0.3">
      <c r="A137" s="296"/>
      <c r="B137" s="222" t="e">
        <f>Tabelle2!W51</f>
        <v>#VALUE!</v>
      </c>
      <c r="C137" s="297" t="s">
        <v>114</v>
      </c>
      <c r="D137" s="298"/>
      <c r="E137" s="306" t="e">
        <f>Tabelle2!$W$52</f>
        <v>#VALUE!</v>
      </c>
      <c r="F137" s="307"/>
      <c r="G137" s="308" t="str">
        <f>G130</f>
        <v>Selezionare pozzo</v>
      </c>
    </row>
    <row r="138" spans="1:7" ht="15" customHeight="1" thickBot="1" x14ac:dyDescent="0.3">
      <c r="A138" s="296"/>
      <c r="B138" s="222"/>
      <c r="C138" s="309"/>
      <c r="D138" s="310" t="str">
        <f>D131</f>
        <v>Scelta coperchio:</v>
      </c>
      <c r="E138" s="311" t="s">
        <v>257</v>
      </c>
      <c r="F138" s="311" t="s">
        <v>258</v>
      </c>
      <c r="G138" s="312" t="s">
        <v>259</v>
      </c>
    </row>
    <row r="139" spans="1:7" ht="15" customHeight="1" x14ac:dyDescent="0.25">
      <c r="A139" s="296"/>
      <c r="B139" s="222"/>
      <c r="C139" s="361" t="str">
        <f>Sprachen!E$103</f>
        <v>H utile</v>
      </c>
      <c r="D139" s="362" t="str">
        <f>Sprachen!E$104</f>
        <v>H totale incl. coperchio + fondo</v>
      </c>
      <c r="E139" s="362" t="str">
        <f>Sprachen!E$105</f>
        <v>H volume del pozzetto</v>
      </c>
      <c r="F139" s="362" t="str">
        <f>Sprachen!E$106</f>
        <v>H volume utile</v>
      </c>
      <c r="G139" s="363" t="str">
        <f>Sprachen!E$107</f>
        <v>H volume di riserva</v>
      </c>
    </row>
    <row r="140" spans="1:7" ht="15" customHeight="1" thickBot="1" x14ac:dyDescent="0.3">
      <c r="A140" s="296"/>
      <c r="B140" s="222"/>
      <c r="C140" s="302" t="e">
        <f>Tabelle2!$W$33*10</f>
        <v>#VALUE!</v>
      </c>
      <c r="D140" s="303" t="e">
        <f>Tabelle2!$W$35*10</f>
        <v>#VALUE!</v>
      </c>
      <c r="E140" s="313">
        <f>Tabelle2!$W$25*10</f>
        <v>0</v>
      </c>
      <c r="F140" s="313" t="e">
        <f>(Tabelle2!$W$23)*10</f>
        <v>#VALUE!</v>
      </c>
      <c r="G140" s="314" t="e">
        <f>(Tabelle2!W24+Tabelle2!W30)*10</f>
        <v>#VALUE!</v>
      </c>
    </row>
    <row r="141" spans="1:7" ht="15" customHeight="1" x14ac:dyDescent="0.25">
      <c r="A141" s="296"/>
      <c r="B141" s="222"/>
      <c r="C141" s="666" t="str">
        <f>Tabelle2!$Q$69</f>
        <v xml:space="preserve"> /  /  /  /  /  /  /  /  / </v>
      </c>
      <c r="D141" s="667"/>
      <c r="E141" s="667"/>
      <c r="F141" s="667"/>
      <c r="G141" s="668"/>
    </row>
    <row r="142" spans="1:7" ht="15" customHeight="1" thickBot="1" x14ac:dyDescent="0.3">
      <c r="A142" s="296"/>
      <c r="B142" s="222"/>
      <c r="C142" s="669"/>
      <c r="D142" s="670"/>
      <c r="E142" s="670"/>
      <c r="F142" s="670"/>
      <c r="G142" s="671"/>
    </row>
    <row r="143" spans="1:7" ht="5.85" customHeight="1" thickBot="1" x14ac:dyDescent="0.3">
      <c r="A143" s="296"/>
      <c r="B143" s="222"/>
      <c r="C143" s="225"/>
      <c r="D143" s="225"/>
      <c r="E143" s="225"/>
      <c r="F143" s="222"/>
      <c r="G143" s="222"/>
    </row>
    <row r="144" spans="1:7" ht="14.1" customHeight="1" thickBot="1" x14ac:dyDescent="0.3">
      <c r="A144" s="296"/>
      <c r="B144" s="222" t="e">
        <f>Tabelle2!Z51</f>
        <v>#VALUE!</v>
      </c>
      <c r="C144" s="315" t="s">
        <v>115</v>
      </c>
      <c r="D144" s="316"/>
      <c r="E144" s="306" t="e">
        <f>Tabelle2!$Z$52</f>
        <v>#VALUE!</v>
      </c>
      <c r="F144" s="307"/>
      <c r="G144" s="308" t="str">
        <f>G137</f>
        <v>Selezionare pozzo</v>
      </c>
    </row>
    <row r="145" spans="1:7" ht="15" customHeight="1" x14ac:dyDescent="0.25">
      <c r="A145" s="296"/>
      <c r="B145" s="222"/>
      <c r="C145" s="364" t="str">
        <f>Sprachen!E$103</f>
        <v>H utile</v>
      </c>
      <c r="D145" s="365" t="str">
        <f>Sprachen!E$104</f>
        <v>H totale incl. coperchio + fondo</v>
      </c>
      <c r="E145" s="365" t="str">
        <f>Sprachen!E$105</f>
        <v>H volume del pozzetto</v>
      </c>
      <c r="F145" s="365" t="str">
        <f>Sprachen!E$106</f>
        <v>H volume utile</v>
      </c>
      <c r="G145" s="366" t="str">
        <f>Sprachen!E$107</f>
        <v>H volume di riserva</v>
      </c>
    </row>
    <row r="146" spans="1:7" ht="15.75" thickBot="1" x14ac:dyDescent="0.3">
      <c r="A146" s="296"/>
      <c r="B146" s="222"/>
      <c r="C146" s="302" t="e">
        <f>Tabelle2!$Z$33*10</f>
        <v>#VALUE!</v>
      </c>
      <c r="D146" s="303" t="e">
        <f>Tabelle2!Z35*10</f>
        <v>#VALUE!</v>
      </c>
      <c r="E146" s="313">
        <f>Tabelle2!$Z$25*10</f>
        <v>0</v>
      </c>
      <c r="F146" s="313" t="e">
        <f>(Tabelle2!Z23+Tabelle2!Z29)*10</f>
        <v>#VALUE!</v>
      </c>
      <c r="G146" s="314" t="e">
        <f>(Tabelle2!Z24+Tabelle2!Z30)*10</f>
        <v>#VALUE!</v>
      </c>
    </row>
    <row r="147" spans="1:7" x14ac:dyDescent="0.25">
      <c r="A147" s="296"/>
      <c r="B147" s="222"/>
      <c r="C147" s="678" t="str">
        <f>Tabelle2!$Q$70</f>
        <v xml:space="preserve"> /  /  /  /  /  /  /  /  / </v>
      </c>
      <c r="D147" s="679"/>
      <c r="E147" s="679"/>
      <c r="F147" s="679"/>
      <c r="G147" s="680"/>
    </row>
    <row r="148" spans="1:7" ht="14.1" customHeight="1" thickBot="1" x14ac:dyDescent="0.3">
      <c r="A148" s="296"/>
      <c r="B148" s="222"/>
      <c r="C148" s="675"/>
      <c r="D148" s="676"/>
      <c r="E148" s="676"/>
      <c r="F148" s="676"/>
      <c r="G148" s="677"/>
    </row>
    <row r="149" spans="1:7" ht="5.85" customHeight="1" thickBot="1" x14ac:dyDescent="0.3">
      <c r="A149" s="296"/>
      <c r="B149" s="222"/>
      <c r="C149" s="225"/>
      <c r="D149" s="225"/>
      <c r="E149" s="225"/>
      <c r="F149" s="222"/>
      <c r="G149" s="222"/>
    </row>
    <row r="150" spans="1:7" ht="14.1" customHeight="1" thickBot="1" x14ac:dyDescent="0.3">
      <c r="A150" s="296"/>
      <c r="B150" s="222" t="e">
        <f>Tabelle2!AC51</f>
        <v>#VALUE!</v>
      </c>
      <c r="C150" s="297" t="s">
        <v>118</v>
      </c>
      <c r="D150" s="367"/>
      <c r="E150" s="306" t="e">
        <f>Tabelle2!$AC$52</f>
        <v>#VALUE!</v>
      </c>
      <c r="F150" s="307"/>
      <c r="G150" s="308" t="str">
        <f>G144</f>
        <v>Selezionare pozzo</v>
      </c>
    </row>
    <row r="151" spans="1:7" ht="14.1" customHeight="1" thickBot="1" x14ac:dyDescent="0.3">
      <c r="A151" s="296"/>
      <c r="B151" s="222"/>
      <c r="C151" s="317"/>
      <c r="D151" s="310" t="str">
        <f>D138</f>
        <v>Scelta coperchio:</v>
      </c>
      <c r="E151" s="318" t="s">
        <v>341</v>
      </c>
      <c r="F151" s="318" t="s">
        <v>342</v>
      </c>
      <c r="G151" s="319"/>
    </row>
    <row r="152" spans="1:7" x14ac:dyDescent="0.25">
      <c r="A152" s="296"/>
      <c r="B152" s="222"/>
      <c r="C152" s="361" t="str">
        <f>Sprachen!E$103</f>
        <v>H utile</v>
      </c>
      <c r="D152" s="362" t="str">
        <f>Sprachen!E$104</f>
        <v>H totale incl. coperchio + fondo</v>
      </c>
      <c r="E152" s="362" t="str">
        <f>Sprachen!E$105</f>
        <v>H volume del pozzetto</v>
      </c>
      <c r="F152" s="362" t="str">
        <f>Sprachen!E$106</f>
        <v>H volume utile</v>
      </c>
      <c r="G152" s="363" t="str">
        <f>Sprachen!E$107</f>
        <v>H volume di riserva</v>
      </c>
    </row>
    <row r="153" spans="1:7" ht="15.75" thickBot="1" x14ac:dyDescent="0.3">
      <c r="A153" s="296"/>
      <c r="B153" s="222"/>
      <c r="C153" s="302" t="e">
        <f>Tabelle2!$AC$33*10</f>
        <v>#VALUE!</v>
      </c>
      <c r="D153" s="303" t="e">
        <f>Tabelle2!AC35*10</f>
        <v>#VALUE!</v>
      </c>
      <c r="E153" s="313">
        <f>Tabelle2!$AC$25*10</f>
        <v>0</v>
      </c>
      <c r="F153" s="313" t="e">
        <f>(Tabelle2!AC23+Tabelle2!AC29)*10</f>
        <v>#VALUE!</v>
      </c>
      <c r="G153" s="314" t="e">
        <f>(Tabelle2!AC24+Tabelle2!AC30)*10</f>
        <v>#VALUE!</v>
      </c>
    </row>
    <row r="154" spans="1:7" x14ac:dyDescent="0.25">
      <c r="A154" s="296"/>
      <c r="B154" s="222"/>
      <c r="C154" s="672" t="str">
        <f>Tabelle2!$Q$71</f>
        <v xml:space="preserve"> /  /  /  /  /  /  /  /  / </v>
      </c>
      <c r="D154" s="673"/>
      <c r="E154" s="673"/>
      <c r="F154" s="673"/>
      <c r="G154" s="674"/>
    </row>
    <row r="155" spans="1:7" ht="14.1" customHeight="1" thickBot="1" x14ac:dyDescent="0.3">
      <c r="A155" s="296"/>
      <c r="B155" s="222"/>
      <c r="C155" s="675"/>
      <c r="D155" s="676"/>
      <c r="E155" s="676"/>
      <c r="F155" s="676"/>
      <c r="G155" s="677"/>
    </row>
    <row r="156" spans="1:7" ht="5.85" customHeight="1" thickBot="1" x14ac:dyDescent="0.3">
      <c r="A156" s="296"/>
      <c r="B156" s="222"/>
      <c r="C156" s="225"/>
      <c r="D156" s="225"/>
      <c r="E156" s="225"/>
      <c r="F156" s="222"/>
      <c r="G156" s="222"/>
    </row>
    <row r="157" spans="1:7" ht="14.1" customHeight="1" thickBot="1" x14ac:dyDescent="0.3">
      <c r="A157" s="296"/>
      <c r="B157" s="222" t="e">
        <f>Tabelle2!AF51</f>
        <v>#VALUE!</v>
      </c>
      <c r="C157" s="297" t="s">
        <v>119</v>
      </c>
      <c r="D157" s="367"/>
      <c r="E157" s="306" t="e">
        <f>Tabelle2!$AF$52</f>
        <v>#VALUE!</v>
      </c>
      <c r="F157" s="307"/>
      <c r="G157" s="308" t="str">
        <f>G150</f>
        <v>Selezionare pozzo</v>
      </c>
    </row>
    <row r="158" spans="1:7" ht="14.1" customHeight="1" thickBot="1" x14ac:dyDescent="0.3">
      <c r="A158" s="296"/>
      <c r="B158" s="222"/>
      <c r="C158" s="320"/>
      <c r="D158" s="310" t="str">
        <f>D151</f>
        <v>Scelta coperchio:</v>
      </c>
      <c r="E158" s="321" t="s">
        <v>341</v>
      </c>
      <c r="F158" s="321" t="s">
        <v>342</v>
      </c>
      <c r="G158" s="322"/>
    </row>
    <row r="159" spans="1:7" x14ac:dyDescent="0.25">
      <c r="A159" s="296"/>
      <c r="B159" s="222"/>
      <c r="C159" s="361" t="str">
        <f>Sprachen!E$103</f>
        <v>H utile</v>
      </c>
      <c r="D159" s="362" t="str">
        <f>Sprachen!E$104</f>
        <v>H totale incl. coperchio + fondo</v>
      </c>
      <c r="E159" s="362" t="str">
        <f>Sprachen!E$105</f>
        <v>H volume del pozzetto</v>
      </c>
      <c r="F159" s="362" t="str">
        <f>Sprachen!E$106</f>
        <v>H volume utile</v>
      </c>
      <c r="G159" s="363" t="str">
        <f>Sprachen!E$107</f>
        <v>H volume di riserva</v>
      </c>
    </row>
    <row r="160" spans="1:7" ht="15.75" thickBot="1" x14ac:dyDescent="0.3">
      <c r="A160" s="296"/>
      <c r="B160" s="222"/>
      <c r="C160" s="302" t="e">
        <f>Tabelle2!$AF$33*10</f>
        <v>#VALUE!</v>
      </c>
      <c r="D160" s="303" t="e">
        <f>Tabelle2!$AF$35*10</f>
        <v>#VALUE!</v>
      </c>
      <c r="E160" s="313">
        <f>Tabelle2!$AF$25*10</f>
        <v>0</v>
      </c>
      <c r="F160" s="313" t="e">
        <f>(Tabelle2!$AF$23)*10</f>
        <v>#VALUE!</v>
      </c>
      <c r="G160" s="314" t="e">
        <f>Tabelle2!$AF$24*10</f>
        <v>#VALUE!</v>
      </c>
    </row>
    <row r="161" spans="1:7" x14ac:dyDescent="0.25">
      <c r="A161" s="296"/>
      <c r="B161" s="222"/>
      <c r="C161" s="672" t="str">
        <f>Tabelle2!$Q$72</f>
        <v xml:space="preserve"> /  /  /  /  /  /  /  /  / </v>
      </c>
      <c r="D161" s="673"/>
      <c r="E161" s="673"/>
      <c r="F161" s="673"/>
      <c r="G161" s="674"/>
    </row>
    <row r="162" spans="1:7" ht="14.1" customHeight="1" thickBot="1" x14ac:dyDescent="0.3">
      <c r="A162" s="296"/>
      <c r="B162" s="222"/>
      <c r="C162" s="675"/>
      <c r="D162" s="676"/>
      <c r="E162" s="676"/>
      <c r="F162" s="676"/>
      <c r="G162" s="677"/>
    </row>
    <row r="163" spans="1:7" ht="5.85" customHeight="1" thickBot="1" x14ac:dyDescent="0.3">
      <c r="A163" s="296"/>
      <c r="B163" s="222"/>
      <c r="C163" s="225"/>
      <c r="D163" s="225"/>
      <c r="E163" s="225"/>
      <c r="F163" s="222"/>
      <c r="G163" s="222"/>
    </row>
    <row r="164" spans="1:7" ht="14.1" customHeight="1" thickBot="1" x14ac:dyDescent="0.3">
      <c r="A164" s="296"/>
      <c r="B164" s="222" t="e">
        <f>Tabelle2!AI51</f>
        <v>#VALUE!</v>
      </c>
      <c r="C164" s="297" t="s">
        <v>116</v>
      </c>
      <c r="D164" s="367"/>
      <c r="E164" s="306" t="e">
        <f>Tabelle2!$AI$52</f>
        <v>#VALUE!</v>
      </c>
      <c r="F164" s="323"/>
      <c r="G164" s="324" t="str">
        <f>G157</f>
        <v>Selezionare pozzo</v>
      </c>
    </row>
    <row r="165" spans="1:7" ht="14.1" customHeight="1" thickBot="1" x14ac:dyDescent="0.3">
      <c r="A165" s="296"/>
      <c r="B165" s="222"/>
      <c r="C165" s="320"/>
      <c r="D165" s="310" t="str">
        <f>D158</f>
        <v>Scelta coperchio:</v>
      </c>
      <c r="E165" s="321" t="s">
        <v>341</v>
      </c>
      <c r="F165" s="325" t="s">
        <v>342</v>
      </c>
      <c r="G165" s="326"/>
    </row>
    <row r="166" spans="1:7" x14ac:dyDescent="0.25">
      <c r="A166" s="296"/>
      <c r="B166" s="222"/>
      <c r="C166" s="361" t="str">
        <f>Sprachen!E$103</f>
        <v>H utile</v>
      </c>
      <c r="D166" s="362" t="str">
        <f>Sprachen!E$104</f>
        <v>H totale incl. coperchio + fondo</v>
      </c>
      <c r="E166" s="362" t="str">
        <f>Sprachen!E$105</f>
        <v>H volume del pozzetto</v>
      </c>
      <c r="F166" s="362" t="str">
        <f>Sprachen!E$106</f>
        <v>H volume utile</v>
      </c>
      <c r="G166" s="363" t="str">
        <f>Sprachen!E$107</f>
        <v>H volume di riserva</v>
      </c>
    </row>
    <row r="167" spans="1:7" ht="15.75" thickBot="1" x14ac:dyDescent="0.3">
      <c r="A167" s="296"/>
      <c r="B167" s="222"/>
      <c r="C167" s="302" t="e">
        <f>Tabelle2!$AI$33*10</f>
        <v>#VALUE!</v>
      </c>
      <c r="D167" s="303" t="e">
        <f>Tabelle2!$AI$35*10</f>
        <v>#VALUE!</v>
      </c>
      <c r="E167" s="313">
        <f>Tabelle2!$AI$25*10</f>
        <v>0</v>
      </c>
      <c r="F167" s="313" t="e">
        <f>Tabelle2!$AI$23*10</f>
        <v>#VALUE!</v>
      </c>
      <c r="G167" s="314" t="e">
        <f>Tabelle2!$AI$24*10</f>
        <v>#VALUE!</v>
      </c>
    </row>
    <row r="168" spans="1:7" ht="15" customHeight="1" x14ac:dyDescent="0.25">
      <c r="A168" s="296"/>
      <c r="B168" s="222"/>
      <c r="C168" s="672" t="str">
        <f>Tabelle2!$Q$73</f>
        <v xml:space="preserve"> /  /  /  /  /  /  /  /  / </v>
      </c>
      <c r="D168" s="673"/>
      <c r="E168" s="673"/>
      <c r="F168" s="673"/>
      <c r="G168" s="674"/>
    </row>
    <row r="169" spans="1:7" ht="14.1" customHeight="1" thickBot="1" x14ac:dyDescent="0.3">
      <c r="A169" s="296"/>
      <c r="B169" s="222"/>
      <c r="C169" s="675"/>
      <c r="D169" s="676"/>
      <c r="E169" s="676"/>
      <c r="F169" s="676"/>
      <c r="G169" s="677"/>
    </row>
    <row r="170" spans="1:7" ht="5.85" customHeight="1" thickBot="1" x14ac:dyDescent="0.3">
      <c r="A170" s="296"/>
      <c r="B170" s="222"/>
      <c r="C170" s="225"/>
      <c r="D170" s="225"/>
      <c r="E170" s="225"/>
      <c r="F170" s="222"/>
      <c r="G170" s="222"/>
    </row>
    <row r="171" spans="1:7" ht="14.1" customHeight="1" thickBot="1" x14ac:dyDescent="0.3">
      <c r="A171" s="296"/>
      <c r="B171" s="222" t="e">
        <f>Tabelle2!AL51</f>
        <v>#VALUE!</v>
      </c>
      <c r="C171" s="297" t="s">
        <v>117</v>
      </c>
      <c r="D171" s="367"/>
      <c r="E171" s="306" t="e">
        <f>Tabelle2!$AL$52</f>
        <v>#VALUE!</v>
      </c>
      <c r="F171" s="323"/>
      <c r="G171" s="324" t="str">
        <f>G164</f>
        <v>Selezionare pozzo</v>
      </c>
    </row>
    <row r="172" spans="1:7" ht="14.1" customHeight="1" thickBot="1" x14ac:dyDescent="0.3">
      <c r="A172" s="296"/>
      <c r="B172" s="222"/>
      <c r="C172" s="327"/>
      <c r="D172" s="310" t="str">
        <f>D165</f>
        <v>Scelta coperchio:</v>
      </c>
      <c r="E172" s="321" t="s">
        <v>341</v>
      </c>
      <c r="F172" s="325" t="s">
        <v>342</v>
      </c>
      <c r="G172" s="326"/>
    </row>
    <row r="173" spans="1:7" ht="15" customHeight="1" x14ac:dyDescent="0.25">
      <c r="A173" s="296"/>
      <c r="B173" s="222"/>
      <c r="C173" s="361" t="str">
        <f>Sprachen!E$103</f>
        <v>H utile</v>
      </c>
      <c r="D173" s="362" t="str">
        <f>Sprachen!E$104</f>
        <v>H totale incl. coperchio + fondo</v>
      </c>
      <c r="E173" s="362" t="str">
        <f>Sprachen!E$105</f>
        <v>H volume del pozzetto</v>
      </c>
      <c r="F173" s="362" t="str">
        <f>Sprachen!E$106</f>
        <v>H volume utile</v>
      </c>
      <c r="G173" s="363" t="str">
        <f>Sprachen!E$107</f>
        <v>H volume di riserva</v>
      </c>
    </row>
    <row r="174" spans="1:7" ht="15.75" thickBot="1" x14ac:dyDescent="0.3">
      <c r="A174" s="296"/>
      <c r="B174" s="222"/>
      <c r="C174" s="302" t="e">
        <f>Tabelle2!$AL$33*10</f>
        <v>#VALUE!</v>
      </c>
      <c r="D174" s="303" t="e">
        <f>Tabelle2!$AL$35*10</f>
        <v>#VALUE!</v>
      </c>
      <c r="E174" s="313">
        <f>Tabelle2!$AL$25*10</f>
        <v>0</v>
      </c>
      <c r="F174" s="313" t="e">
        <f>Tabelle2!$AL$23*10</f>
        <v>#VALUE!</v>
      </c>
      <c r="G174" s="314" t="e">
        <f>Tabelle2!$AL$24*10</f>
        <v>#VALUE!</v>
      </c>
    </row>
    <row r="175" spans="1:7" x14ac:dyDescent="0.25">
      <c r="A175" s="296"/>
      <c r="B175" s="222"/>
      <c r="C175" s="678" t="str">
        <f>Tabelle2!$Q$74</f>
        <v xml:space="preserve"> /  /  /  /  /  /  /  /  / </v>
      </c>
      <c r="D175" s="679"/>
      <c r="E175" s="679"/>
      <c r="F175" s="679"/>
      <c r="G175" s="680"/>
    </row>
    <row r="176" spans="1:7" ht="14.1" customHeight="1" thickBot="1" x14ac:dyDescent="0.3">
      <c r="A176" s="328"/>
      <c r="B176" s="222"/>
      <c r="C176" s="675"/>
      <c r="D176" s="676"/>
      <c r="E176" s="676"/>
      <c r="F176" s="676"/>
      <c r="G176" s="677"/>
    </row>
    <row r="177" spans="1:7" ht="14.1" customHeight="1" x14ac:dyDescent="0.25">
      <c r="C177" s="47"/>
      <c r="D177" s="47"/>
      <c r="E177" s="58"/>
    </row>
    <row r="178" spans="1:7" x14ac:dyDescent="0.25">
      <c r="C178" s="334" t="str">
        <f>$C$64</f>
        <v>Selettore pozzo V.5.2</v>
      </c>
      <c r="D178" s="222"/>
      <c r="E178" s="222"/>
      <c r="F178" s="222"/>
      <c r="G178" s="222"/>
    </row>
    <row r="179" spans="1:7" ht="5.85" customHeight="1" thickBot="1" x14ac:dyDescent="0.3">
      <c r="F179" s="112"/>
      <c r="G179" s="112"/>
    </row>
    <row r="180" spans="1:7" ht="15.75" thickBot="1" x14ac:dyDescent="0.3">
      <c r="A180" s="9" t="s">
        <v>310</v>
      </c>
      <c r="C180" s="111"/>
      <c r="D180" s="275" t="e">
        <f>IF(OR(C180="",E180=0),Sprachen!E197,Sprachen!F197&amp;C180+E180&amp;" mm)")</f>
        <v>#VALUE!</v>
      </c>
      <c r="E180" s="54" t="e">
        <f>Tabelle3!$AY$66</f>
        <v>#VALUE!</v>
      </c>
      <c r="F180" s="288" t="str">
        <f>Sprachen!E204</f>
        <v>mm fino al segmento successivo</v>
      </c>
      <c r="G180" s="225"/>
    </row>
    <row r="181" spans="1:7" ht="4.5" customHeight="1" thickBot="1" x14ac:dyDescent="0.3">
      <c r="D181" s="225"/>
      <c r="F181" s="225"/>
      <c r="G181" s="225"/>
    </row>
    <row r="182" spans="1:7" ht="15" customHeight="1" thickBot="1" x14ac:dyDescent="0.3">
      <c r="D182" s="374" t="str">
        <f>Sprachen!E249</f>
        <v>Inserimento bordo superiore del coperchio</v>
      </c>
      <c r="E182" s="613"/>
      <c r="F182" s="498" t="str">
        <f>Sprachen!E213&amp;" OKD"&amp;(Sprachen!E341)</f>
        <v>quotatura piano  OKD m.s.l.m.</v>
      </c>
      <c r="G182" s="503"/>
    </row>
    <row r="183" spans="1:7" ht="15" customHeight="1" thickBot="1" x14ac:dyDescent="0.3">
      <c r="D183" s="374" t="str">
        <f>Sprachen!E250</f>
        <v>Inserimento quota di progetto (m.s.l.m.)</v>
      </c>
    </row>
    <row r="184" spans="1:7" ht="15" customHeight="1" thickBot="1" x14ac:dyDescent="0.3">
      <c r="A184" s="9" t="s">
        <v>311</v>
      </c>
      <c r="C184" s="613"/>
      <c r="D184" s="352" t="str">
        <f>Sprachen!E198</f>
        <v>Adeguare la tubazione di mandata alla</v>
      </c>
      <c r="E184" s="613"/>
      <c r="F184" s="352" t="str">
        <f>Sprachen!E205</f>
        <v xml:space="preserve">Definire livello e apparecchiatura con </v>
      </c>
      <c r="G184" s="225"/>
    </row>
    <row r="185" spans="1:7" ht="15.75" thickBot="1" x14ac:dyDescent="0.3">
      <c r="C185" s="17"/>
      <c r="D185" s="353" t="str">
        <f>Sprachen!E199&amp;(" (min. -"&amp;Tabelle3!AA6&amp;" mm OK Deckel)")</f>
        <v xml:space="preserve"> quota di progetto in m  (min. -400 mm OK Deckel)</v>
      </c>
      <c r="E185" s="17"/>
      <c r="F185" s="352" t="str">
        <f>Sprachen!E206</f>
        <v>quota di progetto in m</v>
      </c>
      <c r="G185" s="225"/>
    </row>
    <row r="186" spans="1:7" ht="15.75" thickBot="1" x14ac:dyDescent="0.3">
      <c r="A186" t="s">
        <v>312</v>
      </c>
      <c r="C186" s="613"/>
      <c r="D186" s="352" t="str">
        <f>Sprachen!E200</f>
        <v xml:space="preserve">Adeguare la bocchetta di entrata più bassa alla </v>
      </c>
      <c r="E186" s="613"/>
      <c r="F186" s="352" t="str">
        <f>Sprachen!E207</f>
        <v xml:space="preserve">Limitazione in profondità del pozzo con </v>
      </c>
      <c r="G186" s="225"/>
    </row>
    <row r="187" spans="1:7" x14ac:dyDescent="0.25">
      <c r="B187" s="194"/>
      <c r="C187" s="17"/>
      <c r="D187" s="352" t="str">
        <f>Sprachen!E201&amp;(" (min. -"&amp;Tabelle3!Z11&amp;" mm ")&amp;Sprachen!E342</f>
        <v>quota di progetto in m  (min. -400 mm BS coperchio</v>
      </c>
      <c r="E187" s="17"/>
      <c r="F187" s="275"/>
      <c r="G187" s="225"/>
    </row>
    <row r="188" spans="1:7" ht="15.75" thickBot="1" x14ac:dyDescent="0.3">
      <c r="A188" t="s">
        <v>313</v>
      </c>
      <c r="C188" s="329"/>
      <c r="D188" s="275" t="str">
        <f>Sprachen!E202</f>
        <v>Prolungare il pozzo fino all'entrata inferiore</v>
      </c>
      <c r="E188" s="225"/>
      <c r="F188" s="225"/>
      <c r="G188" s="225"/>
    </row>
    <row r="189" spans="1:7" ht="14.1" customHeight="1" x14ac:dyDescent="0.25">
      <c r="A189" s="193" t="e">
        <f>Tabelle2!$AM$55</f>
        <v>#VALUE!</v>
      </c>
      <c r="C189" s="330" t="str">
        <f>Tabelle3!B16</f>
        <v xml:space="preserve"> FPS DN 1000</v>
      </c>
      <c r="D189" s="331"/>
      <c r="E189" s="331"/>
      <c r="F189" s="225"/>
      <c r="G189" s="225"/>
    </row>
    <row r="190" spans="1:7" ht="14.1" customHeight="1" x14ac:dyDescent="0.25">
      <c r="C190" s="354" t="e">
        <f>Linkauswahl!E46</f>
        <v>#VALUE!</v>
      </c>
      <c r="D190" s="225"/>
      <c r="E190" s="332"/>
      <c r="F190" s="225"/>
      <c r="G190" s="225"/>
    </row>
    <row r="191" spans="1:7" x14ac:dyDescent="0.25">
      <c r="C191" s="355" t="e">
        <f>Linkauswahl!E47</f>
        <v>#VALUE!</v>
      </c>
      <c r="D191" s="225"/>
      <c r="E191" s="332"/>
      <c r="F191" s="225"/>
      <c r="G191" s="225"/>
    </row>
    <row r="192" spans="1:7" x14ac:dyDescent="0.25">
      <c r="A192" s="223"/>
      <c r="B192" s="222"/>
      <c r="C192" s="356" t="e">
        <f>Linkauswahl!E48</f>
        <v>#VALUE!</v>
      </c>
      <c r="D192" s="333"/>
      <c r="E192" s="333"/>
      <c r="F192" s="225"/>
      <c r="G192" s="225"/>
    </row>
    <row r="193" spans="1:3" x14ac:dyDescent="0.25">
      <c r="A193" s="357" t="str">
        <f>Sprachen!E220</f>
        <v>Tutte le dimensioni</v>
      </c>
      <c r="B193" s="222"/>
      <c r="C193" s="225"/>
    </row>
    <row r="194" spans="1:3" x14ac:dyDescent="0.25">
      <c r="A194" s="355" t="str">
        <f>Sprachen!E221</f>
        <v>in mm:</v>
      </c>
      <c r="B194" s="222"/>
      <c r="C194" s="225"/>
    </row>
    <row r="195" spans="1:3" x14ac:dyDescent="0.25">
      <c r="A195" s="225"/>
      <c r="B195" s="222"/>
      <c r="C195" s="225"/>
    </row>
    <row r="196" spans="1:3" x14ac:dyDescent="0.25">
      <c r="A196" s="225"/>
      <c r="B196" s="222"/>
      <c r="C196" s="225"/>
    </row>
    <row r="197" spans="1:3" x14ac:dyDescent="0.25">
      <c r="A197" s="225"/>
      <c r="B197" s="222"/>
      <c r="C197" s="225"/>
    </row>
    <row r="198" spans="1:3" x14ac:dyDescent="0.25">
      <c r="A198" s="225"/>
      <c r="B198" s="222"/>
      <c r="C198" s="225"/>
    </row>
    <row r="225" spans="4:7" ht="15.75" thickBot="1" x14ac:dyDescent="0.3"/>
    <row r="226" spans="4:7" ht="15.75" thickBot="1" x14ac:dyDescent="0.3">
      <c r="D226" s="642" t="str">
        <f>F97</f>
        <v>Afflusso totale di acque reflue in l/s:</v>
      </c>
      <c r="E226" s="645">
        <f>G97</f>
        <v>0</v>
      </c>
    </row>
    <row r="227" spans="4:7" ht="15.75" thickBot="1" x14ac:dyDescent="0.3">
      <c r="D227" s="642"/>
      <c r="E227" s="648" t="str">
        <f>G98</f>
        <v>Volume in L</v>
      </c>
      <c r="F227" s="225"/>
      <c r="G227" s="288"/>
    </row>
    <row r="228" spans="4:7" x14ac:dyDescent="0.25">
      <c r="D228" s="642" t="str">
        <f>D99</f>
        <v>Volume utile</v>
      </c>
      <c r="E228" s="649" t="str">
        <f>G99</f>
        <v/>
      </c>
      <c r="F228" s="225"/>
      <c r="G228" s="332"/>
    </row>
    <row r="229" spans="4:7" x14ac:dyDescent="0.25">
      <c r="D229" s="643" t="str">
        <f>D100</f>
        <v>Volume di riserva</v>
      </c>
      <c r="E229" s="646" t="e">
        <f>G100</f>
        <v>#VALUE!</v>
      </c>
      <c r="F229" s="225"/>
      <c r="G229" s="332"/>
    </row>
    <row r="230" spans="4:7" ht="15.75" thickBot="1" x14ac:dyDescent="0.3">
      <c r="D230" s="644" t="str">
        <f>D101</f>
        <v>Volume del pozzo in l senza pozzetto</v>
      </c>
      <c r="E230" s="647" t="e">
        <f>G101</f>
        <v>#VALUE!</v>
      </c>
      <c r="F230" s="225"/>
      <c r="G230" s="332"/>
    </row>
  </sheetData>
  <sheetProtection algorithmName="SHA-512" hashValue="D+I1KBHNqBzW9qLAzR4HdijoLBxMQY/pzA6cf8wmgCHuU3qIS65Zn/TAOItBDIL/DMFJ7Bwpn4i07tvhWKTwEw==" saltValue="9wgMM7Ab/qOhDKrbt5JSNg==" spinCount="100000" sheet="1" formatCells="0" formatColumns="0" formatRows="0" insertColumns="0" insertRows="0" insertHyperlinks="0" deleteColumns="0" deleteRows="0"/>
  <protectedRanges>
    <protectedRange sqref="F4" name="Bereich10"/>
    <protectedRange sqref="C83" name="DU Pauschal"/>
    <protectedRange sqref="C72:C76" name="K Werte"/>
    <protectedRange sqref="E182 C180 E184:E187 C186:C188" name="Zeichnung ändern"/>
    <protectedRange sqref="C23:C26 C28:C32 C34:C35 C37:C39 C41:C46 C48:C52 C54:C57 C59:C61 C80 C83 C65:C68 C86:C95" name="Angaben DU"/>
    <protectedRange sqref="E6 E8 E10 E12 E14 E16 E18 E20" name="Angaben Kunde"/>
    <protectedRange sqref="E131 F130:G131 F124 F137 E138:G138 F144 F150 F157:F158 F164:F165 F171:F172" name="Schacht Auswahl"/>
    <protectedRange sqref="C104:C105 E104:E105 C108:C118 E117 E112:E115 E108:E109" name="Pumpen Auswahl"/>
    <protectedRange sqref="E184:E187 C186:C188" name="unterster Einlauf"/>
    <protectedRange sqref="C184" name="Bereich9"/>
  </protectedRanges>
  <customSheetViews>
    <customSheetView guid="{293DBBB2-31AB-49B6-80A6-A09BA6CFC857}" scale="85" showPageBreaks="1" showGridLines="0" view="pageLayout" topLeftCell="A22">
      <selection activeCell="K48" sqref="K48"/>
      <rowBreaks count="1" manualBreakCount="1">
        <brk id="177" max="16383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95" orientation="portrait" r:id="rId1"/>
      <headerFooter>
        <oddHeader xml:space="preserve">&amp;L&amp;G&amp;C&amp;8Südstrasse 10
3110 Münsingen&amp;R&amp;"Arial,Standard"&amp;K04+000
Mehr als Pumpen               </oddHeader>
        <oddFooter>&amp;LSchachtselector V.3 &amp;8 22.3.2016&amp;C&amp;8Tel: 031 720 90 00
www.biral.ch</oddFooter>
      </headerFooter>
    </customSheetView>
    <customSheetView guid="{94E92B89-7E11-4D1B-8822-B6B0BD88CF68}" showPageBreaks="1" showGridLines="0" view="pageLayout" topLeftCell="A169">
      <selection activeCell="F175" sqref="F175"/>
      <rowBreaks count="2" manualBreakCount="2">
        <brk id="113" max="16383" man="1"/>
        <brk id="172" max="16383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95" orientation="portrait" r:id="rId2"/>
      <headerFooter>
        <oddHeader xml:space="preserve">&amp;L&amp;G&amp;R&amp;"Arial,Standard"&amp;K04+000
Mehr als Pumpen               </oddHeader>
      </headerFooter>
    </customSheetView>
  </customSheetViews>
  <mergeCells count="19">
    <mergeCell ref="C127:G128"/>
    <mergeCell ref="C161:G162"/>
    <mergeCell ref="C168:G169"/>
    <mergeCell ref="C175:G176"/>
    <mergeCell ref="C134:G135"/>
    <mergeCell ref="C141:G142"/>
    <mergeCell ref="C147:G148"/>
    <mergeCell ref="C154:G155"/>
    <mergeCell ref="E6:F6"/>
    <mergeCell ref="E12:F12"/>
    <mergeCell ref="E14:F14"/>
    <mergeCell ref="E16:F16"/>
    <mergeCell ref="E10:F10"/>
    <mergeCell ref="E8:F8"/>
    <mergeCell ref="A30:A42"/>
    <mergeCell ref="A97:A101"/>
    <mergeCell ref="E18:F18"/>
    <mergeCell ref="E20:F20"/>
    <mergeCell ref="A86:A95"/>
  </mergeCells>
  <conditionalFormatting sqref="E171:E172">
    <cfRule type="colorScale" priority="4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1:E172">
    <cfRule type="containsText" dxfId="229" priority="327" operator="containsText" text="Achtung">
      <formula>NOT(ISERROR(SEARCH("Achtung",E171)))</formula>
    </cfRule>
    <cfRule type="containsText" dxfId="228" priority="429" operator="containsText" text="nicht geeignet">
      <formula>NOT(ISERROR(SEARCH("nicht geeignet",E171)))</formula>
    </cfRule>
    <cfRule type="containsText" dxfId="227" priority="430" operator="containsText" text="gut">
      <formula>NOT(ISERROR(SEARCH("gut",E171)))</formula>
    </cfRule>
    <cfRule type="containsText" dxfId="226" priority="431" operator="containsText" text="nicht geeignet">
      <formula>NOT(ISERROR(SEARCH("nicht geeignet",E171)))</formula>
    </cfRule>
  </conditionalFormatting>
  <conditionalFormatting sqref="E164:E165">
    <cfRule type="colorScale" priority="3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4:E165">
    <cfRule type="containsText" dxfId="225" priority="328" operator="containsText" text="Achtung">
      <formula>NOT(ISERROR(SEARCH("Achtung",E164)))</formula>
    </cfRule>
    <cfRule type="containsText" dxfId="224" priority="359" operator="containsText" text="nicht geeignet">
      <formula>NOT(ISERROR(SEARCH("nicht geeignet",E164)))</formula>
    </cfRule>
    <cfRule type="containsText" dxfId="223" priority="360" operator="containsText" text="gut">
      <formula>NOT(ISERROR(SEARCH("gut",E164)))</formula>
    </cfRule>
    <cfRule type="containsText" dxfId="222" priority="361" operator="containsText" text="nicht geeignet">
      <formula>NOT(ISERROR(SEARCH("nicht geeignet",E164)))</formula>
    </cfRule>
  </conditionalFormatting>
  <conditionalFormatting sqref="E157:E158">
    <cfRule type="colorScale" priority="3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7:E158">
    <cfRule type="containsText" dxfId="221" priority="333" operator="containsText" text="AChtung">
      <formula>NOT(ISERROR(SEARCH("AChtung",E157)))</formula>
    </cfRule>
    <cfRule type="containsText" dxfId="220" priority="355" operator="containsText" text="nicht geeignet">
      <formula>NOT(ISERROR(SEARCH("nicht geeignet",E157)))</formula>
    </cfRule>
    <cfRule type="containsText" dxfId="219" priority="356" operator="containsText" text="gut">
      <formula>NOT(ISERROR(SEARCH("gut",E157)))</formula>
    </cfRule>
    <cfRule type="containsText" dxfId="218" priority="357" operator="containsText" text="nicht geeignet">
      <formula>NOT(ISERROR(SEARCH("nicht geeignet",E157)))</formula>
    </cfRule>
  </conditionalFormatting>
  <conditionalFormatting sqref="E150:E151">
    <cfRule type="colorScale" priority="3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0:E151">
    <cfRule type="containsText" dxfId="217" priority="329" operator="containsText" text="Achtung">
      <formula>NOT(ISERROR(SEARCH("Achtung",E150)))</formula>
    </cfRule>
    <cfRule type="containsText" dxfId="216" priority="351" operator="containsText" text="nicht geeignet">
      <formula>NOT(ISERROR(SEARCH("nicht geeignet",E150)))</formula>
    </cfRule>
    <cfRule type="containsText" dxfId="215" priority="352" operator="containsText" text="gut">
      <formula>NOT(ISERROR(SEARCH("gut",E150)))</formula>
    </cfRule>
    <cfRule type="containsText" dxfId="214" priority="353" operator="containsText" text="nicht geeignet">
      <formula>NOT(ISERROR(SEARCH("nicht geeignet",E150)))</formula>
    </cfRule>
  </conditionalFormatting>
  <conditionalFormatting sqref="E144">
    <cfRule type="colorScale" priority="3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4">
    <cfRule type="containsText" dxfId="213" priority="330" operator="containsText" text="Achtung">
      <formula>NOT(ISERROR(SEARCH("Achtung",E144)))</formula>
    </cfRule>
    <cfRule type="containsText" dxfId="212" priority="347" operator="containsText" text="nicht geeignet">
      <formula>NOT(ISERROR(SEARCH("nicht geeignet",E144)))</formula>
    </cfRule>
    <cfRule type="containsText" dxfId="211" priority="348" operator="containsText" text="gut">
      <formula>NOT(ISERROR(SEARCH("gut",E144)))</formula>
    </cfRule>
    <cfRule type="containsText" dxfId="210" priority="349" operator="containsText" text="nicht geeignet">
      <formula>NOT(ISERROR(SEARCH("nicht geeignet",E144)))</formula>
    </cfRule>
  </conditionalFormatting>
  <conditionalFormatting sqref="E137 F138">
    <cfRule type="colorScale" priority="3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7 F138">
    <cfRule type="containsText" dxfId="209" priority="331" operator="containsText" text="Achtung">
      <formula>NOT(ISERROR(SEARCH("Achtung",E137)))</formula>
    </cfRule>
    <cfRule type="containsText" dxfId="208" priority="343" operator="containsText" text="nicht geeignet">
      <formula>NOT(ISERROR(SEARCH("nicht geeignet",E137)))</formula>
    </cfRule>
    <cfRule type="containsText" dxfId="207" priority="344" operator="containsText" text="gut">
      <formula>NOT(ISERROR(SEARCH("gut",E137)))</formula>
    </cfRule>
    <cfRule type="containsText" dxfId="206" priority="345" operator="containsText" text="nicht geeignet">
      <formula>NOT(ISERROR(SEARCH("nicht geeignet",E137)))</formula>
    </cfRule>
  </conditionalFormatting>
  <conditionalFormatting sqref="E130">
    <cfRule type="colorScale" priority="3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0">
    <cfRule type="containsText" dxfId="205" priority="332" operator="containsText" text="Achtung">
      <formula>NOT(ISERROR(SEARCH("Achtung",E130)))</formula>
    </cfRule>
    <cfRule type="containsText" dxfId="204" priority="334" operator="containsText" text="Achtung">
      <formula>NOT(ISERROR(SEARCH("Achtung",E130)))</formula>
    </cfRule>
    <cfRule type="containsText" dxfId="203" priority="339" operator="containsText" text="nicht geeignet">
      <formula>NOT(ISERROR(SEARCH("nicht geeignet",E130)))</formula>
    </cfRule>
    <cfRule type="containsText" dxfId="202" priority="340" operator="containsText" text="gut">
      <formula>NOT(ISERROR(SEARCH("gut",E130)))</formula>
    </cfRule>
    <cfRule type="containsText" dxfId="201" priority="341" operator="containsText" text="nicht geeignet">
      <formula>NOT(ISERROR(SEARCH("nicht geeignet",E130)))</formula>
    </cfRule>
  </conditionalFormatting>
  <conditionalFormatting sqref="G124">
    <cfRule type="containsText" dxfId="200" priority="335" operator="containsText" text="nicht geeignet">
      <formula>NOT(ISERROR(SEARCH("nicht geeignet",G124)))</formula>
    </cfRule>
    <cfRule type="containsText" dxfId="199" priority="336" operator="containsText" text="gut">
      <formula>NOT(ISERROR(SEARCH("gut",G124)))</formula>
    </cfRule>
    <cfRule type="containsText" dxfId="198" priority="337" operator="containsText" text="nicht geeignet">
      <formula>NOT(ISERROR(SEARCH("nicht geeignet",G124)))</formula>
    </cfRule>
  </conditionalFormatting>
  <conditionalFormatting sqref="G130">
    <cfRule type="containsText" dxfId="197" priority="324" operator="containsText" text="nicht geeignet">
      <formula>NOT(ISERROR(SEARCH("nicht geeignet",G130)))</formula>
    </cfRule>
    <cfRule type="containsText" dxfId="196" priority="325" operator="containsText" text="gut">
      <formula>NOT(ISERROR(SEARCH("gut",G130)))</formula>
    </cfRule>
    <cfRule type="containsText" dxfId="195" priority="326" operator="containsText" text="nicht geeignet">
      <formula>NOT(ISERROR(SEARCH("nicht geeignet",G130)))</formula>
    </cfRule>
  </conditionalFormatting>
  <conditionalFormatting sqref="G137:G138">
    <cfRule type="containsText" dxfId="194" priority="321" operator="containsText" text="nicht geeignet">
      <formula>NOT(ISERROR(SEARCH("nicht geeignet",G137)))</formula>
    </cfRule>
    <cfRule type="containsText" dxfId="193" priority="322" operator="containsText" text="gut">
      <formula>NOT(ISERROR(SEARCH("gut",G137)))</formula>
    </cfRule>
    <cfRule type="containsText" dxfId="192" priority="323" operator="containsText" text="nicht geeignet">
      <formula>NOT(ISERROR(SEARCH("nicht geeignet",G137)))</formula>
    </cfRule>
  </conditionalFormatting>
  <conditionalFormatting sqref="G144">
    <cfRule type="containsText" dxfId="191" priority="318" operator="containsText" text="nicht geeignet">
      <formula>NOT(ISERROR(SEARCH("nicht geeignet",G144)))</formula>
    </cfRule>
    <cfRule type="containsText" dxfId="190" priority="319" operator="containsText" text="gut">
      <formula>NOT(ISERROR(SEARCH("gut",G144)))</formula>
    </cfRule>
    <cfRule type="containsText" dxfId="189" priority="320" operator="containsText" text="nicht geeignet">
      <formula>NOT(ISERROR(SEARCH("nicht geeignet",G144)))</formula>
    </cfRule>
  </conditionalFormatting>
  <conditionalFormatting sqref="G150:G151">
    <cfRule type="containsText" dxfId="188" priority="315" operator="containsText" text="nicht geeignet">
      <formula>NOT(ISERROR(SEARCH("nicht geeignet",G150)))</formula>
    </cfRule>
    <cfRule type="containsText" dxfId="187" priority="316" operator="containsText" text="gut">
      <formula>NOT(ISERROR(SEARCH("gut",G150)))</formula>
    </cfRule>
    <cfRule type="containsText" dxfId="186" priority="317" operator="containsText" text="nicht geeignet">
      <formula>NOT(ISERROR(SEARCH("nicht geeignet",G150)))</formula>
    </cfRule>
  </conditionalFormatting>
  <conditionalFormatting sqref="G157:G158">
    <cfRule type="containsText" dxfId="185" priority="312" operator="containsText" text="nicht geeignet">
      <formula>NOT(ISERROR(SEARCH("nicht geeignet",G157)))</formula>
    </cfRule>
    <cfRule type="containsText" dxfId="184" priority="313" operator="containsText" text="gut">
      <formula>NOT(ISERROR(SEARCH("gut",G157)))</formula>
    </cfRule>
    <cfRule type="containsText" dxfId="183" priority="314" operator="containsText" text="nicht geeignet">
      <formula>NOT(ISERROR(SEARCH("nicht geeignet",G157)))</formula>
    </cfRule>
  </conditionalFormatting>
  <conditionalFormatting sqref="E138">
    <cfRule type="colorScale" priority="3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8">
    <cfRule type="containsText" dxfId="182" priority="301" operator="containsText" text="Achtung">
      <formula>NOT(ISERROR(SEARCH("Achtung",E138)))</formula>
    </cfRule>
    <cfRule type="containsText" dxfId="181" priority="302" operator="containsText" text="nicht geeignet">
      <formula>NOT(ISERROR(SEARCH("nicht geeignet",E138)))</formula>
    </cfRule>
    <cfRule type="containsText" dxfId="180" priority="303" operator="containsText" text="gut">
      <formula>NOT(ISERROR(SEARCH("gut",E138)))</formula>
    </cfRule>
    <cfRule type="containsText" dxfId="179" priority="304" operator="containsText" text="nicht geeignet">
      <formula>NOT(ISERROR(SEARCH("nicht geeignet",E138)))</formula>
    </cfRule>
  </conditionalFormatting>
  <conditionalFormatting sqref="F131">
    <cfRule type="colorScale" priority="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31">
    <cfRule type="containsText" dxfId="178" priority="296" operator="containsText" text="Achtung">
      <formula>NOT(ISERROR(SEARCH("Achtung",F131)))</formula>
    </cfRule>
    <cfRule type="containsText" dxfId="177" priority="297" operator="containsText" text="nicht geeignet">
      <formula>NOT(ISERROR(SEARCH("nicht geeignet",F131)))</formula>
    </cfRule>
    <cfRule type="containsText" dxfId="176" priority="298" operator="containsText" text="gut">
      <formula>NOT(ISERROR(SEARCH("gut",F131)))</formula>
    </cfRule>
    <cfRule type="containsText" dxfId="175" priority="299" operator="containsText" text="nicht geeignet">
      <formula>NOT(ISERROR(SEARCH("nicht geeignet",F131)))</formula>
    </cfRule>
  </conditionalFormatting>
  <conditionalFormatting sqref="G131">
    <cfRule type="containsText" dxfId="174" priority="293" operator="containsText" text="nicht geeignet">
      <formula>NOT(ISERROR(SEARCH("nicht geeignet",G131)))</formula>
    </cfRule>
    <cfRule type="containsText" dxfId="173" priority="294" operator="containsText" text="gut">
      <formula>NOT(ISERROR(SEARCH("gut",G131)))</formula>
    </cfRule>
    <cfRule type="containsText" dxfId="172" priority="295" operator="containsText" text="nicht geeignet">
      <formula>NOT(ISERROR(SEARCH("nicht geeignet",G131)))</formula>
    </cfRule>
  </conditionalFormatting>
  <conditionalFormatting sqref="E131">
    <cfRule type="colorScale" priority="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1">
    <cfRule type="containsText" dxfId="171" priority="288" operator="containsText" text="Achtung">
      <formula>NOT(ISERROR(SEARCH("Achtung",E131)))</formula>
    </cfRule>
    <cfRule type="containsText" dxfId="170" priority="289" operator="containsText" text="nicht geeignet">
      <formula>NOT(ISERROR(SEARCH("nicht geeignet",E131)))</formula>
    </cfRule>
    <cfRule type="containsText" dxfId="169" priority="290" operator="containsText" text="gut">
      <formula>NOT(ISERROR(SEARCH("gut",E131)))</formula>
    </cfRule>
    <cfRule type="containsText" dxfId="168" priority="291" operator="containsText" text="nicht geeignet">
      <formula>NOT(ISERROR(SEARCH("nicht geeignet",E131)))</formula>
    </cfRule>
  </conditionalFormatting>
  <conditionalFormatting sqref="F157:F158">
    <cfRule type="containsText" dxfId="167" priority="196" operator="containsText" text="nicht geeignet">
      <formula>NOT(ISERROR(SEARCH("nicht geeignet",F157)))</formula>
    </cfRule>
    <cfRule type="containsText" dxfId="166" priority="197" operator="containsText" text="gut">
      <formula>NOT(ISERROR(SEARCH("gut",F157)))</formula>
    </cfRule>
    <cfRule type="containsText" dxfId="165" priority="198" operator="containsText" text="nicht geeignet">
      <formula>NOT(ISERROR(SEARCH("nicht geeignet",F157)))</formula>
    </cfRule>
  </conditionalFormatting>
  <conditionalFormatting sqref="F150">
    <cfRule type="containsText" dxfId="164" priority="181" operator="containsText" text="nicht geeignet">
      <formula>NOT(ISERROR(SEARCH("nicht geeignet",F150)))</formula>
    </cfRule>
    <cfRule type="containsText" dxfId="163" priority="182" operator="containsText" text="gut">
      <formula>NOT(ISERROR(SEARCH("gut",F150)))</formula>
    </cfRule>
    <cfRule type="containsText" dxfId="162" priority="183" operator="containsText" text="nicht geeignet">
      <formula>NOT(ISERROR(SEARCH("nicht geeignet",F150)))</formula>
    </cfRule>
  </conditionalFormatting>
  <conditionalFormatting sqref="F144">
    <cfRule type="containsText" dxfId="161" priority="170" operator="containsText" text="nicht geeignet">
      <formula>NOT(ISERROR(SEARCH("nicht geeignet",F144)))</formula>
    </cfRule>
    <cfRule type="containsText" dxfId="160" priority="171" operator="containsText" text="gut">
      <formula>NOT(ISERROR(SEARCH("gut",F144)))</formula>
    </cfRule>
    <cfRule type="containsText" dxfId="159" priority="172" operator="containsText" text="nicht geeignet">
      <formula>NOT(ISERROR(SEARCH("nicht geeignet",F144)))</formula>
    </cfRule>
  </conditionalFormatting>
  <conditionalFormatting sqref="F137">
    <cfRule type="containsText" dxfId="158" priority="163" operator="containsText" text="nicht geeignet">
      <formula>NOT(ISERROR(SEARCH("nicht geeignet",F137)))</formula>
    </cfRule>
    <cfRule type="containsText" dxfId="157" priority="164" operator="containsText" text="gut">
      <formula>NOT(ISERROR(SEARCH("gut",F137)))</formula>
    </cfRule>
    <cfRule type="containsText" dxfId="156" priority="165" operator="containsText" text="nicht geeignet">
      <formula>NOT(ISERROR(SEARCH("nicht geeignet",F137)))</formula>
    </cfRule>
  </conditionalFormatting>
  <conditionalFormatting sqref="F130">
    <cfRule type="containsText" dxfId="155" priority="156" operator="containsText" text="nicht geeignet">
      <formula>NOT(ISERROR(SEARCH("nicht geeignet",F130)))</formula>
    </cfRule>
    <cfRule type="containsText" dxfId="154" priority="157" operator="containsText" text="gut">
      <formula>NOT(ISERROR(SEARCH("gut",F130)))</formula>
    </cfRule>
    <cfRule type="containsText" dxfId="153" priority="158" operator="containsText" text="nicht geeignet">
      <formula>NOT(ISERROR(SEARCH("nicht geeignet",F130)))</formula>
    </cfRule>
  </conditionalFormatting>
  <conditionalFormatting sqref="F124">
    <cfRule type="containsText" dxfId="152" priority="149" operator="containsText" text="nicht geeignet">
      <formula>NOT(ISERROR(SEARCH("nicht geeignet",F124)))</formula>
    </cfRule>
    <cfRule type="containsText" dxfId="151" priority="150" operator="containsText" text="gut">
      <formula>NOT(ISERROR(SEARCH("gut",F124)))</formula>
    </cfRule>
    <cfRule type="containsText" dxfId="150" priority="151" operator="containsText" text="nicht geeignet">
      <formula>NOT(ISERROR(SEARCH("nicht geeignet",F124)))</formula>
    </cfRule>
  </conditionalFormatting>
  <conditionalFormatting sqref="F151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1">
    <cfRule type="containsText" dxfId="149" priority="144" operator="containsText" text="Achtung">
      <formula>NOT(ISERROR(SEARCH("Achtung",F151)))</formula>
    </cfRule>
    <cfRule type="containsText" dxfId="148" priority="145" operator="containsText" text="nicht geeignet">
      <formula>NOT(ISERROR(SEARCH("nicht geeignet",F151)))</formula>
    </cfRule>
    <cfRule type="containsText" dxfId="147" priority="146" operator="containsText" text="gut">
      <formula>NOT(ISERROR(SEARCH("gut",F151)))</formula>
    </cfRule>
    <cfRule type="containsText" dxfId="146" priority="147" operator="containsText" text="nicht geeignet">
      <formula>NOT(ISERROR(SEARCH("nicht geeignet",F151)))</formula>
    </cfRule>
  </conditionalFormatting>
  <conditionalFormatting sqref="C144:D144">
    <cfRule type="expression" dxfId="145" priority="87">
      <formula>IF($B$144&lt;7,TRUE,FALSE)</formula>
    </cfRule>
    <cfRule type="expression" dxfId="144" priority="88">
      <formula>IF($B$144=7,TRUE,FALSE)</formula>
    </cfRule>
    <cfRule type="expression" dxfId="143" priority="89">
      <formula>IF($B$144=8,TRUE,FALSE)</formula>
    </cfRule>
    <cfRule type="expression" dxfId="142" priority="90">
      <formula>IF($B$144=9,TRUE,FALSE)</formula>
    </cfRule>
  </conditionalFormatting>
  <conditionalFormatting sqref="E124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4">
    <cfRule type="containsText" dxfId="141" priority="81" operator="containsText" text="Achtung">
      <formula>NOT(ISERROR(SEARCH("Achtung",E124)))</formula>
    </cfRule>
    <cfRule type="containsText" dxfId="140" priority="82" operator="containsText" text="Achtung">
      <formula>NOT(ISERROR(SEARCH("Achtung",E124)))</formula>
    </cfRule>
    <cfRule type="containsText" dxfId="139" priority="83" operator="containsText" text="nicht geeignet">
      <formula>NOT(ISERROR(SEARCH("nicht geeignet",E124)))</formula>
    </cfRule>
    <cfRule type="containsText" dxfId="138" priority="84" operator="containsText" text="gut">
      <formula>NOT(ISERROR(SEARCH("gut",E124)))</formula>
    </cfRule>
    <cfRule type="containsText" dxfId="137" priority="85" operator="containsText" text="nicht geeignet">
      <formula>NOT(ISERROR(SEARCH("nicht geeignet",E124)))</formula>
    </cfRule>
  </conditionalFormatting>
  <conditionalFormatting sqref="C124:D124">
    <cfRule type="expression" dxfId="136" priority="77">
      <formula>IF($B$124=9,TRUE,FALSE)</formula>
    </cfRule>
    <cfRule type="expression" dxfId="135" priority="78">
      <formula>IF($B$124=8,TRUE,FALSE)</formula>
    </cfRule>
    <cfRule type="expression" dxfId="134" priority="79">
      <formula>IF($B$124=7,TRUE,FALSE)</formula>
    </cfRule>
    <cfRule type="expression" dxfId="133" priority="80">
      <formula>IF($B$124&lt;7,TRUE,FALSE)</formula>
    </cfRule>
  </conditionalFormatting>
  <conditionalFormatting sqref="C130:D130">
    <cfRule type="expression" dxfId="132" priority="73">
      <formula>IF($B$130=9,TRUE,FALSE)</formula>
    </cfRule>
    <cfRule type="expression" dxfId="131" priority="74">
      <formula>IF($B$130=8,TRUE,FALSE)</formula>
    </cfRule>
    <cfRule type="expression" dxfId="130" priority="75">
      <formula>IF($B$130=7,TRUE,FALSE)</formula>
    </cfRule>
    <cfRule type="expression" dxfId="129" priority="76">
      <formula>IF($B$130&lt;7,TRUE,FALSE)</formula>
    </cfRule>
  </conditionalFormatting>
  <conditionalFormatting sqref="C137:D137">
    <cfRule type="expression" dxfId="128" priority="69">
      <formula>IF($B$137=9,TRUE,FALSE)</formula>
    </cfRule>
    <cfRule type="expression" dxfId="127" priority="70">
      <formula>IF($B$137=8,TRUE,FALSE)</formula>
    </cfRule>
    <cfRule type="expression" dxfId="126" priority="71">
      <formula>IF($B$137=7,TRUE,FALSE)</formula>
    </cfRule>
    <cfRule type="expression" dxfId="125" priority="72">
      <formula>IF($B$137&lt;7,TRUE,FALSE)</formula>
    </cfRule>
  </conditionalFormatting>
  <conditionalFormatting sqref="C150:D150">
    <cfRule type="expression" dxfId="124" priority="65">
      <formula>IF($B$150&lt;7,TRUE,FALSE)</formula>
    </cfRule>
    <cfRule type="expression" dxfId="123" priority="66">
      <formula>IF($B$150=7,TRUE,FALSE)</formula>
    </cfRule>
    <cfRule type="expression" dxfId="122" priority="67">
      <formula>IF($B$150=8,TRUE,FALSE)</formula>
    </cfRule>
    <cfRule type="expression" dxfId="121" priority="68">
      <formula>IF($B$150=9,TRUE,FALSE)</formula>
    </cfRule>
  </conditionalFormatting>
  <conditionalFormatting sqref="C157:D157">
    <cfRule type="expression" dxfId="120" priority="61">
      <formula>IF($B$157&lt;7,TRUE,FALSE)</formula>
    </cfRule>
    <cfRule type="expression" dxfId="119" priority="62">
      <formula>IF($B$157=7,TRUE,FALSE)</formula>
    </cfRule>
    <cfRule type="expression" dxfId="118" priority="63">
      <formula>IF($B$157=8,TRUE,FALSE)</formula>
    </cfRule>
    <cfRule type="expression" dxfId="117" priority="64">
      <formula>IF($B$157=9,TRUE,FALSE)</formula>
    </cfRule>
  </conditionalFormatting>
  <conditionalFormatting sqref="C164:D164">
    <cfRule type="expression" dxfId="116" priority="57">
      <formula>IF($B$164&lt;7,TRUE,FALSE)</formula>
    </cfRule>
    <cfRule type="expression" dxfId="115" priority="58">
      <formula>IF($B$164=7,TRUE,FALSE)</formula>
    </cfRule>
    <cfRule type="expression" dxfId="114" priority="59">
      <formula>IF($B$164=8,TRUE,FALSE)</formula>
    </cfRule>
    <cfRule type="expression" dxfId="113" priority="60">
      <formula>IF($B$164=9,TRUE,FALSE)</formula>
    </cfRule>
  </conditionalFormatting>
  <conditionalFormatting sqref="C171:D171">
    <cfRule type="expression" dxfId="112" priority="53">
      <formula>IF($B$171&lt;7,TRUE,FALSE)</formula>
    </cfRule>
    <cfRule type="expression" dxfId="111" priority="54">
      <formula>IF($B$171=7,TRUE,FALSE)</formula>
    </cfRule>
    <cfRule type="expression" dxfId="110" priority="55">
      <formula>IF($B$171=8,TRUE,FALSE)</formula>
    </cfRule>
    <cfRule type="expression" dxfId="109" priority="56">
      <formula>IF($B$171=9,TRUE,FALSE)</formula>
    </cfRule>
  </conditionalFormatting>
  <conditionalFormatting sqref="C189">
    <cfRule type="expression" dxfId="108" priority="433">
      <formula>IF(A189&lt;7,TRUE,FALSE)</formula>
    </cfRule>
    <cfRule type="expression" dxfId="107" priority="434">
      <formula>IF(A189=7,TRUE,FALSE)</formula>
    </cfRule>
    <cfRule type="expression" dxfId="106" priority="435">
      <formula>IF(A189=8,TRUE,FALSE)</formula>
    </cfRule>
    <cfRule type="expression" dxfId="105" priority="436">
      <formula>IF(A189=9,TRUE,FALSE)</formula>
    </cfRule>
  </conditionalFormatting>
  <conditionalFormatting sqref="E189">
    <cfRule type="expression" dxfId="104" priority="25">
      <formula>IF(A189&lt;7,TRUE,FALSE)</formula>
    </cfRule>
    <cfRule type="expression" dxfId="103" priority="26">
      <formula>IF(A189=7,TRUE,FALSE)</formula>
    </cfRule>
    <cfRule type="expression" dxfId="102" priority="27">
      <formula>IF(A189=8,TRUE,FALSE)</formula>
    </cfRule>
    <cfRule type="expression" dxfId="101" priority="28">
      <formula>IF(A189=9,TRUE,FALSE)</formula>
    </cfRule>
  </conditionalFormatting>
  <conditionalFormatting sqref="D189">
    <cfRule type="expression" dxfId="100" priority="1">
      <formula>IF(A189&lt;7,TRUE,FALSE)</formula>
    </cfRule>
    <cfRule type="expression" dxfId="99" priority="2">
      <formula>IF(A189=7,TRUE,FALSE)</formula>
    </cfRule>
    <cfRule type="expression" dxfId="98" priority="3">
      <formula>IF(A189=8,TRUE,FALSE)</formula>
    </cfRule>
    <cfRule type="expression" dxfId="97" priority="4">
      <formula>IF(A189=9,TRUE,FALSE)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3"/>
  <headerFooter>
    <oddHeader xml:space="preserve">&amp;L&amp;G&amp;C&amp;8Südstrasse 10
3110 Münsingen&amp;R&amp;"Arial,Standard"&amp;K04+000
Mehr als Pumpen               </oddHeader>
    <oddFooter>&amp;LSchachtselector V.5.2&amp;C&amp;8Tel: 031 720 90 00
www.biral.ch</oddFooter>
  </headerFooter>
  <rowBreaks count="1" manualBreakCount="1">
    <brk id="177" max="16383" man="1"/>
  </rowBreaks>
  <drawing r:id="rId4"/>
  <legacyDrawing r:id="rId5"/>
  <legacyDrawingHF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2</xdr:col>
                    <xdr:colOff>123825</xdr:colOff>
                    <xdr:row>71</xdr:row>
                    <xdr:rowOff>171450</xdr:rowOff>
                  </from>
                  <to>
                    <xdr:col>3</xdr:col>
                    <xdr:colOff>800100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2</xdr:col>
                    <xdr:colOff>123825</xdr:colOff>
                    <xdr:row>73</xdr:row>
                    <xdr:rowOff>19050</xdr:rowOff>
                  </from>
                  <to>
                    <xdr:col>3</xdr:col>
                    <xdr:colOff>800100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2</xdr:col>
                    <xdr:colOff>123825</xdr:colOff>
                    <xdr:row>73</xdr:row>
                    <xdr:rowOff>180975</xdr:rowOff>
                  </from>
                  <to>
                    <xdr:col>3</xdr:col>
                    <xdr:colOff>800100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2</xdr:col>
                    <xdr:colOff>123825</xdr:colOff>
                    <xdr:row>74</xdr:row>
                    <xdr:rowOff>180975</xdr:rowOff>
                  </from>
                  <to>
                    <xdr:col>3</xdr:col>
                    <xdr:colOff>800100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2</xdr:col>
                    <xdr:colOff>133350</xdr:colOff>
                    <xdr:row>106</xdr:row>
                    <xdr:rowOff>190500</xdr:rowOff>
                  </from>
                  <to>
                    <xdr:col>2</xdr:col>
                    <xdr:colOff>333375</xdr:colOff>
                    <xdr:row>108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>
                <anchor moveWithCells="1">
                  <from>
                    <xdr:col>2</xdr:col>
                    <xdr:colOff>142875</xdr:colOff>
                    <xdr:row>102</xdr:row>
                    <xdr:rowOff>180975</xdr:rowOff>
                  </from>
                  <to>
                    <xdr:col>2</xdr:col>
                    <xdr:colOff>352425</xdr:colOff>
                    <xdr:row>104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Check Box 8">
              <controlPr defaultSize="0" autoFill="0" autoLine="0" autoPict="0">
                <anchor moveWithCells="1">
                  <from>
                    <xdr:col>2</xdr:col>
                    <xdr:colOff>142875</xdr:colOff>
                    <xdr:row>103</xdr:row>
                    <xdr:rowOff>171450</xdr:rowOff>
                  </from>
                  <to>
                    <xdr:col>2</xdr:col>
                    <xdr:colOff>342900</xdr:colOff>
                    <xdr:row>105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4" name="Check Box 9">
              <controlPr defaultSize="0" autoFill="0" autoLine="0" autoPict="0">
                <anchor moveWithCells="1">
                  <from>
                    <xdr:col>2</xdr:col>
                    <xdr:colOff>133350</xdr:colOff>
                    <xdr:row>107</xdr:row>
                    <xdr:rowOff>180975</xdr:rowOff>
                  </from>
                  <to>
                    <xdr:col>2</xdr:col>
                    <xdr:colOff>352425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5" name="Check Box 10">
              <controlPr defaultSize="0" autoFill="0" autoLine="0" autoPict="0">
                <anchor moveWithCells="1">
                  <from>
                    <xdr:col>2</xdr:col>
                    <xdr:colOff>133350</xdr:colOff>
                    <xdr:row>108</xdr:row>
                    <xdr:rowOff>180975</xdr:rowOff>
                  </from>
                  <to>
                    <xdr:col>2</xdr:col>
                    <xdr:colOff>352425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2</xdr:col>
                    <xdr:colOff>133350</xdr:colOff>
                    <xdr:row>109</xdr:row>
                    <xdr:rowOff>180975</xdr:rowOff>
                  </from>
                  <to>
                    <xdr:col>2</xdr:col>
                    <xdr:colOff>371475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4</xdr:col>
                    <xdr:colOff>581025</xdr:colOff>
                    <xdr:row>106</xdr:row>
                    <xdr:rowOff>180975</xdr:rowOff>
                  </from>
                  <to>
                    <xdr:col>4</xdr:col>
                    <xdr:colOff>771525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4</xdr:col>
                    <xdr:colOff>581025</xdr:colOff>
                    <xdr:row>107</xdr:row>
                    <xdr:rowOff>161925</xdr:rowOff>
                  </from>
                  <to>
                    <xdr:col>4</xdr:col>
                    <xdr:colOff>790575</xdr:colOff>
                    <xdr:row>108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4</xdr:col>
                    <xdr:colOff>581025</xdr:colOff>
                    <xdr:row>111</xdr:row>
                    <xdr:rowOff>0</xdr:rowOff>
                  </from>
                  <to>
                    <xdr:col>4</xdr:col>
                    <xdr:colOff>819150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</xdr:col>
                    <xdr:colOff>571500</xdr:colOff>
                    <xdr:row>112</xdr:row>
                    <xdr:rowOff>171450</xdr:rowOff>
                  </from>
                  <to>
                    <xdr:col>4</xdr:col>
                    <xdr:colOff>790575</xdr:colOff>
                    <xdr:row>113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</xdr:col>
                    <xdr:colOff>571500</xdr:colOff>
                    <xdr:row>113</xdr:row>
                    <xdr:rowOff>161925</xdr:rowOff>
                  </from>
                  <to>
                    <xdr:col>4</xdr:col>
                    <xdr:colOff>781050</xdr:colOff>
                    <xdr:row>114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</xdr:col>
                    <xdr:colOff>133350</xdr:colOff>
                    <xdr:row>112</xdr:row>
                    <xdr:rowOff>180975</xdr:rowOff>
                  </from>
                  <to>
                    <xdr:col>2</xdr:col>
                    <xdr:colOff>342900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</xdr:col>
                    <xdr:colOff>133350</xdr:colOff>
                    <xdr:row>113</xdr:row>
                    <xdr:rowOff>180975</xdr:rowOff>
                  </from>
                  <to>
                    <xdr:col>2</xdr:col>
                    <xdr:colOff>352425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</xdr:col>
                    <xdr:colOff>133350</xdr:colOff>
                    <xdr:row>114</xdr:row>
                    <xdr:rowOff>180975</xdr:rowOff>
                  </from>
                  <to>
                    <xdr:col>2</xdr:col>
                    <xdr:colOff>352425</xdr:colOff>
                    <xdr:row>115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</xdr:col>
                    <xdr:colOff>133350</xdr:colOff>
                    <xdr:row>110</xdr:row>
                    <xdr:rowOff>180975</xdr:rowOff>
                  </from>
                  <to>
                    <xdr:col>2</xdr:col>
                    <xdr:colOff>371475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</xdr:col>
                    <xdr:colOff>133350</xdr:colOff>
                    <xdr:row>111</xdr:row>
                    <xdr:rowOff>180975</xdr:rowOff>
                  </from>
                  <to>
                    <xdr:col>2</xdr:col>
                    <xdr:colOff>333375</xdr:colOff>
                    <xdr:row>112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4</xdr:col>
                    <xdr:colOff>581025</xdr:colOff>
                    <xdr:row>111</xdr:row>
                    <xdr:rowOff>171450</xdr:rowOff>
                  </from>
                  <to>
                    <xdr:col>4</xdr:col>
                    <xdr:colOff>771525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2</xdr:col>
                    <xdr:colOff>133350</xdr:colOff>
                    <xdr:row>116</xdr:row>
                    <xdr:rowOff>0</xdr:rowOff>
                  </from>
                  <to>
                    <xdr:col>2</xdr:col>
                    <xdr:colOff>342900</xdr:colOff>
                    <xdr:row>117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4</xdr:col>
                    <xdr:colOff>590550</xdr:colOff>
                    <xdr:row>102</xdr:row>
                    <xdr:rowOff>171450</xdr:rowOff>
                  </from>
                  <to>
                    <xdr:col>4</xdr:col>
                    <xdr:colOff>838200</xdr:colOff>
                    <xdr:row>104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4</xdr:col>
                    <xdr:colOff>590550</xdr:colOff>
                    <xdr:row>103</xdr:row>
                    <xdr:rowOff>161925</xdr:rowOff>
                  </from>
                  <to>
                    <xdr:col>4</xdr:col>
                    <xdr:colOff>790575</xdr:colOff>
                    <xdr:row>104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1" name="Check Box 43">
              <controlPr defaultSize="0" autoFill="0" autoLine="0" autoPict="0">
                <anchor moveWithCells="1">
                  <from>
                    <xdr:col>4</xdr:col>
                    <xdr:colOff>133350</xdr:colOff>
                    <xdr:row>129</xdr:row>
                    <xdr:rowOff>161925</xdr:rowOff>
                  </from>
                  <to>
                    <xdr:col>4</xdr:col>
                    <xdr:colOff>352425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2" name="Check Box 44">
              <controlPr defaultSize="0" autoFill="0" autoLine="0" autoPict="0">
                <anchor moveWithCells="1">
                  <from>
                    <xdr:col>5</xdr:col>
                    <xdr:colOff>114300</xdr:colOff>
                    <xdr:row>129</xdr:row>
                    <xdr:rowOff>161925</xdr:rowOff>
                  </from>
                  <to>
                    <xdr:col>5</xdr:col>
                    <xdr:colOff>323850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3" name="Check Box 45">
              <controlPr defaultSize="0" autoFill="0" autoLine="0" autoPict="0">
                <anchor moveWithCells="1">
                  <from>
                    <xdr:col>6</xdr:col>
                    <xdr:colOff>333375</xdr:colOff>
                    <xdr:row>129</xdr:row>
                    <xdr:rowOff>142875</xdr:rowOff>
                  </from>
                  <to>
                    <xdr:col>6</xdr:col>
                    <xdr:colOff>619125</xdr:colOff>
                    <xdr:row>131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4" name="Check Box 46">
              <controlPr defaultSize="0" autoFill="0" autoLine="0" autoPict="0">
                <anchor moveWithCells="1">
                  <from>
                    <xdr:col>4</xdr:col>
                    <xdr:colOff>142875</xdr:colOff>
                    <xdr:row>136</xdr:row>
                    <xdr:rowOff>180975</xdr:rowOff>
                  </from>
                  <to>
                    <xdr:col>4</xdr:col>
                    <xdr:colOff>352425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5" name="Check Box 47">
              <controlPr defaultSize="0" autoFill="0" autoLine="0" autoPict="0">
                <anchor moveWithCells="1">
                  <from>
                    <xdr:col>5</xdr:col>
                    <xdr:colOff>114300</xdr:colOff>
                    <xdr:row>136</xdr:row>
                    <xdr:rowOff>180975</xdr:rowOff>
                  </from>
                  <to>
                    <xdr:col>5</xdr:col>
                    <xdr:colOff>323850</xdr:colOff>
                    <xdr:row>138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6" name="Check Box 48">
              <controlPr defaultSize="0" autoFill="0" autoLine="0" autoPict="0">
                <anchor moveWithCells="1">
                  <from>
                    <xdr:col>6</xdr:col>
                    <xdr:colOff>333375</xdr:colOff>
                    <xdr:row>137</xdr:row>
                    <xdr:rowOff>0</xdr:rowOff>
                  </from>
                  <to>
                    <xdr:col>6</xdr:col>
                    <xdr:colOff>552450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7" name="Check Box 49">
              <controlPr defaultSize="0" autoFill="0" autoLine="0" autoPict="0">
                <anchor moveWithCells="1">
                  <from>
                    <xdr:col>2</xdr:col>
                    <xdr:colOff>228600</xdr:colOff>
                    <xdr:row>187</xdr:row>
                    <xdr:rowOff>0</xdr:rowOff>
                  </from>
                  <to>
                    <xdr:col>2</xdr:col>
                    <xdr:colOff>476250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8" name="Check Box 50">
              <controlPr defaultSize="0" autoFill="0" autoLine="0" autoPict="0">
                <anchor moveWithCells="1">
                  <from>
                    <xdr:col>3</xdr:col>
                    <xdr:colOff>2667000</xdr:colOff>
                    <xdr:row>81</xdr:row>
                    <xdr:rowOff>180975</xdr:rowOff>
                  </from>
                  <to>
                    <xdr:col>4</xdr:col>
                    <xdr:colOff>19050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3</xdr:col>
                    <xdr:colOff>2590800</xdr:colOff>
                    <xdr:row>68</xdr:row>
                    <xdr:rowOff>9525</xdr:rowOff>
                  </from>
                  <to>
                    <xdr:col>3</xdr:col>
                    <xdr:colOff>2847975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0" name="Check Box 53">
              <controlPr defaultSize="0" autoFill="0" autoLine="0" autoPict="0">
                <anchor moveWithCells="1">
                  <from>
                    <xdr:col>3</xdr:col>
                    <xdr:colOff>2667000</xdr:colOff>
                    <xdr:row>82</xdr:row>
                    <xdr:rowOff>161925</xdr:rowOff>
                  </from>
                  <to>
                    <xdr:col>4</xdr:col>
                    <xdr:colOff>9525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1" name="Check Box 54">
              <controlPr defaultSize="0" autoFill="0" autoLine="0" autoPict="0">
                <anchor moveWithCells="1">
                  <from>
                    <xdr:col>3</xdr:col>
                    <xdr:colOff>2590800</xdr:colOff>
                    <xdr:row>67</xdr:row>
                    <xdr:rowOff>9525</xdr:rowOff>
                  </from>
                  <to>
                    <xdr:col>3</xdr:col>
                    <xdr:colOff>2800350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2" name="Check Box 55">
              <controlPr defaultSize="0" autoFill="0" autoLine="0" autoPict="0">
                <anchor moveWithCells="1">
                  <from>
                    <xdr:col>4</xdr:col>
                    <xdr:colOff>95250</xdr:colOff>
                    <xdr:row>149</xdr:row>
                    <xdr:rowOff>133350</xdr:rowOff>
                  </from>
                  <to>
                    <xdr:col>4</xdr:col>
                    <xdr:colOff>323850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defaultSize="0" autoFill="0" autoLine="0" autoPict="0">
                <anchor moveWithCells="1">
                  <from>
                    <xdr:col>5</xdr:col>
                    <xdr:colOff>95250</xdr:colOff>
                    <xdr:row>149</xdr:row>
                    <xdr:rowOff>161925</xdr:rowOff>
                  </from>
                  <to>
                    <xdr:col>5</xdr:col>
                    <xdr:colOff>276225</xdr:colOff>
                    <xdr:row>150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 Box 58">
              <controlPr defaultSize="0" autoFill="0" autoLine="0" autoPict="0">
                <anchor moveWithCells="1">
                  <from>
                    <xdr:col>4</xdr:col>
                    <xdr:colOff>95250</xdr:colOff>
                    <xdr:row>156</xdr:row>
                    <xdr:rowOff>152400</xdr:rowOff>
                  </from>
                  <to>
                    <xdr:col>4</xdr:col>
                    <xdr:colOff>352425</xdr:colOff>
                    <xdr:row>157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 Box 59">
              <controlPr defaultSize="0" autoFill="0" autoLine="0" autoPict="0">
                <anchor moveWithCells="1">
                  <from>
                    <xdr:col>5</xdr:col>
                    <xdr:colOff>95250</xdr:colOff>
                    <xdr:row>156</xdr:row>
                    <xdr:rowOff>161925</xdr:rowOff>
                  </from>
                  <to>
                    <xdr:col>5</xdr:col>
                    <xdr:colOff>314325</xdr:colOff>
                    <xdr:row>157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 Box 60">
              <controlPr defaultSize="0" autoFill="0" autoLine="0" autoPict="0">
                <anchor moveWithCells="1">
                  <from>
                    <xdr:col>4</xdr:col>
                    <xdr:colOff>85725</xdr:colOff>
                    <xdr:row>163</xdr:row>
                    <xdr:rowOff>161925</xdr:rowOff>
                  </from>
                  <to>
                    <xdr:col>4</xdr:col>
                    <xdr:colOff>323850</xdr:colOff>
                    <xdr:row>164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7" name="Check Box 61">
              <controlPr defaultSize="0" autoFill="0" autoLine="0" autoPict="0">
                <anchor moveWithCells="1">
                  <from>
                    <xdr:col>5</xdr:col>
                    <xdr:colOff>95250</xdr:colOff>
                    <xdr:row>163</xdr:row>
                    <xdr:rowOff>152400</xdr:rowOff>
                  </from>
                  <to>
                    <xdr:col>5</xdr:col>
                    <xdr:colOff>342900</xdr:colOff>
                    <xdr:row>164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4</xdr:col>
                    <xdr:colOff>66675</xdr:colOff>
                    <xdr:row>170</xdr:row>
                    <xdr:rowOff>161925</xdr:rowOff>
                  </from>
                  <to>
                    <xdr:col>4</xdr:col>
                    <xdr:colOff>285750</xdr:colOff>
                    <xdr:row>171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9" name="Check Box 63">
              <controlPr defaultSize="0" autoFill="0" autoLine="0" autoPict="0">
                <anchor moveWithCells="1">
                  <from>
                    <xdr:col>5</xdr:col>
                    <xdr:colOff>104775</xdr:colOff>
                    <xdr:row>170</xdr:row>
                    <xdr:rowOff>152400</xdr:rowOff>
                  </from>
                  <to>
                    <xdr:col>5</xdr:col>
                    <xdr:colOff>342900</xdr:colOff>
                    <xdr:row>171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0" name="Check Box 64">
              <controlPr defaultSize="0" autoFill="0" autoLine="0" autoPict="0">
                <anchor moveWithCells="1">
                  <from>
                    <xdr:col>3</xdr:col>
                    <xdr:colOff>114300</xdr:colOff>
                    <xdr:row>88</xdr:row>
                    <xdr:rowOff>180975</xdr:rowOff>
                  </from>
                  <to>
                    <xdr:col>3</xdr:col>
                    <xdr:colOff>352425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1" name="Check Box 65">
              <controlPr defaultSize="0" autoFill="0" autoLine="0" autoPict="0">
                <anchor moveWithCells="1">
                  <from>
                    <xdr:col>3</xdr:col>
                    <xdr:colOff>114300</xdr:colOff>
                    <xdr:row>89</xdr:row>
                    <xdr:rowOff>171450</xdr:rowOff>
                  </from>
                  <to>
                    <xdr:col>3</xdr:col>
                    <xdr:colOff>323850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2" name="Check Box 66">
              <controlPr defaultSize="0" autoFill="0" autoLine="0" autoPict="0">
                <anchor moveWithCells="1">
                  <from>
                    <xdr:col>3</xdr:col>
                    <xdr:colOff>114300</xdr:colOff>
                    <xdr:row>90</xdr:row>
                    <xdr:rowOff>171450</xdr:rowOff>
                  </from>
                  <to>
                    <xdr:col>3</xdr:col>
                    <xdr:colOff>361950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3" name="Check Box 67">
              <controlPr defaultSize="0" autoFill="0" autoLine="0" autoPict="0">
                <anchor moveWithCells="1">
                  <from>
                    <xdr:col>3</xdr:col>
                    <xdr:colOff>114300</xdr:colOff>
                    <xdr:row>91</xdr:row>
                    <xdr:rowOff>180975</xdr:rowOff>
                  </from>
                  <to>
                    <xdr:col>3</xdr:col>
                    <xdr:colOff>333375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4" name="Check Box 68">
              <controlPr defaultSize="0" autoFill="0" autoLine="0" autoPict="0">
                <anchor moveWithCells="1">
                  <from>
                    <xdr:col>3</xdr:col>
                    <xdr:colOff>114300</xdr:colOff>
                    <xdr:row>92</xdr:row>
                    <xdr:rowOff>190500</xdr:rowOff>
                  </from>
                  <to>
                    <xdr:col>3</xdr:col>
                    <xdr:colOff>390525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5" name="Check Box 69">
              <controlPr defaultSize="0" autoFill="0" autoLine="0" autoPict="0">
                <anchor moveWithCells="1">
                  <from>
                    <xdr:col>3</xdr:col>
                    <xdr:colOff>114300</xdr:colOff>
                    <xdr:row>93</xdr:row>
                    <xdr:rowOff>190500</xdr:rowOff>
                  </from>
                  <to>
                    <xdr:col>3</xdr:col>
                    <xdr:colOff>390525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6" name="Check Box 70">
              <controlPr defaultSize="0" autoFill="0" autoLine="0" autoPict="0">
                <anchor moveWithCells="1">
                  <from>
                    <xdr:col>4</xdr:col>
                    <xdr:colOff>95250</xdr:colOff>
                    <xdr:row>88</xdr:row>
                    <xdr:rowOff>190500</xdr:rowOff>
                  </from>
                  <to>
                    <xdr:col>4</xdr:col>
                    <xdr:colOff>333375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7" name="Check Box 71">
              <controlPr defaultSize="0" autoFill="0" autoLine="0" autoPict="0">
                <anchor moveWithCells="1">
                  <from>
                    <xdr:col>4</xdr:col>
                    <xdr:colOff>95250</xdr:colOff>
                    <xdr:row>89</xdr:row>
                    <xdr:rowOff>180975</xdr:rowOff>
                  </from>
                  <to>
                    <xdr:col>4</xdr:col>
                    <xdr:colOff>323850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8" name="Check Box 72">
              <controlPr defaultSize="0" autoFill="0" autoLine="0" autoPict="0">
                <anchor moveWithCells="1">
                  <from>
                    <xdr:col>4</xdr:col>
                    <xdr:colOff>95250</xdr:colOff>
                    <xdr:row>90</xdr:row>
                    <xdr:rowOff>180975</xdr:rowOff>
                  </from>
                  <to>
                    <xdr:col>4</xdr:col>
                    <xdr:colOff>314325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9" name="Check Box 73">
              <controlPr defaultSize="0" autoFill="0" autoLine="0" autoPict="0">
                <anchor moveWithCells="1">
                  <from>
                    <xdr:col>4</xdr:col>
                    <xdr:colOff>95250</xdr:colOff>
                    <xdr:row>92</xdr:row>
                    <xdr:rowOff>9525</xdr:rowOff>
                  </from>
                  <to>
                    <xdr:col>4</xdr:col>
                    <xdr:colOff>342900</xdr:colOff>
                    <xdr:row>92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0" name="Group Box 74">
              <controlPr defaultSize="0" autoFill="0" autoPict="0">
                <anchor moveWithCells="1">
                  <from>
                    <xdr:col>1</xdr:col>
                    <xdr:colOff>66675</xdr:colOff>
                    <xdr:row>122</xdr:row>
                    <xdr:rowOff>38100</xdr:rowOff>
                  </from>
                  <to>
                    <xdr:col>7</xdr:col>
                    <xdr:colOff>85725</xdr:colOff>
                    <xdr:row>176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1" name="Option Button 75">
              <controlPr defaultSize="0" autoFill="0" autoLine="0" autoPict="0">
                <anchor moveWithCells="1">
                  <from>
                    <xdr:col>5</xdr:col>
                    <xdr:colOff>762000</xdr:colOff>
                    <xdr:row>122</xdr:row>
                    <xdr:rowOff>57150</xdr:rowOff>
                  </from>
                  <to>
                    <xdr:col>6</xdr:col>
                    <xdr:colOff>47625</xdr:colOff>
                    <xdr:row>123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2" name="Option Button 76">
              <controlPr defaultSize="0" autoFill="0" autoLine="0" autoPict="0">
                <anchor moveWithCells="1">
                  <from>
                    <xdr:col>5</xdr:col>
                    <xdr:colOff>762000</xdr:colOff>
                    <xdr:row>128</xdr:row>
                    <xdr:rowOff>19050</xdr:rowOff>
                  </from>
                  <to>
                    <xdr:col>6</xdr:col>
                    <xdr:colOff>19050</xdr:colOff>
                    <xdr:row>130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3" name="Option Button 77">
              <controlPr defaultSize="0" autoFill="0" autoLine="0" autoPict="0">
                <anchor moveWithCells="1">
                  <from>
                    <xdr:col>5</xdr:col>
                    <xdr:colOff>771525</xdr:colOff>
                    <xdr:row>135</xdr:row>
                    <xdr:rowOff>47625</xdr:rowOff>
                  </from>
                  <to>
                    <xdr:col>6</xdr:col>
                    <xdr:colOff>76200</xdr:colOff>
                    <xdr:row>137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4" name="Option Button 78">
              <controlPr defaultSize="0" autoFill="0" autoLine="0" autoPict="0">
                <anchor moveWithCells="1">
                  <from>
                    <xdr:col>5</xdr:col>
                    <xdr:colOff>781050</xdr:colOff>
                    <xdr:row>142</xdr:row>
                    <xdr:rowOff>38100</xdr:rowOff>
                  </from>
                  <to>
                    <xdr:col>6</xdr:col>
                    <xdr:colOff>28575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5" name="Option Button 79">
              <controlPr defaultSize="0" autoFill="0" autoLine="0" autoPict="0">
                <anchor moveWithCells="1">
                  <from>
                    <xdr:col>5</xdr:col>
                    <xdr:colOff>771525</xdr:colOff>
                    <xdr:row>148</xdr:row>
                    <xdr:rowOff>38100</xdr:rowOff>
                  </from>
                  <to>
                    <xdr:col>6</xdr:col>
                    <xdr:colOff>38100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6" name="Option Button 80">
              <controlPr defaultSize="0" autoFill="0" autoLine="0" autoPict="0">
                <anchor moveWithCells="1">
                  <from>
                    <xdr:col>5</xdr:col>
                    <xdr:colOff>771525</xdr:colOff>
                    <xdr:row>155</xdr:row>
                    <xdr:rowOff>57150</xdr:rowOff>
                  </from>
                  <to>
                    <xdr:col>6</xdr:col>
                    <xdr:colOff>9525</xdr:colOff>
                    <xdr:row>156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7" name="Option Button 81">
              <controlPr defaultSize="0" autoFill="0" autoLine="0" autoPict="0">
                <anchor moveWithCells="1">
                  <from>
                    <xdr:col>5</xdr:col>
                    <xdr:colOff>781050</xdr:colOff>
                    <xdr:row>162</xdr:row>
                    <xdr:rowOff>57150</xdr:rowOff>
                  </from>
                  <to>
                    <xdr:col>6</xdr:col>
                    <xdr:colOff>28575</xdr:colOff>
                    <xdr:row>164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8" name="Option Button 82">
              <controlPr defaultSize="0" autoFill="0" autoLine="0" autoPict="0">
                <anchor moveWithCells="1">
                  <from>
                    <xdr:col>5</xdr:col>
                    <xdr:colOff>781050</xdr:colOff>
                    <xdr:row>169</xdr:row>
                    <xdr:rowOff>57150</xdr:rowOff>
                  </from>
                  <to>
                    <xdr:col>6</xdr:col>
                    <xdr:colOff>47625</xdr:colOff>
                    <xdr:row>171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9" name="Option Button 84">
              <controlPr defaultSize="0" autoFill="0" autoLine="0" autoPict="0">
                <anchor moveWithCells="1">
                  <from>
                    <xdr:col>1</xdr:col>
                    <xdr:colOff>114300</xdr:colOff>
                    <xdr:row>180</xdr:row>
                    <xdr:rowOff>9525</xdr:rowOff>
                  </from>
                  <to>
                    <xdr:col>2</xdr:col>
                    <xdr:colOff>180975</xdr:colOff>
                    <xdr:row>181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0" name="Option Button 85">
              <controlPr defaultSize="0" autoFill="0" autoLine="0" autoPict="0">
                <anchor moveWithCells="1">
                  <from>
                    <xdr:col>1</xdr:col>
                    <xdr:colOff>114300</xdr:colOff>
                    <xdr:row>181</xdr:row>
                    <xdr:rowOff>114300</xdr:rowOff>
                  </from>
                  <to>
                    <xdr:col>2</xdr:col>
                    <xdr:colOff>238125</xdr:colOff>
                    <xdr:row>182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7" id="{43785492-6A80-47E7-9FC0-447B6EA6A8DE}">
            <xm:f>IF(AJ72+Tabelle2!$AL$51=9,TRUE,FALSE)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C175:G176</xm:sqref>
        </x14:conditionalFormatting>
        <x14:conditionalFormatting xmlns:xm="http://schemas.microsoft.com/office/excel/2006/main">
          <x14:cfRule type="expression" priority="396" id="{E5185607-D5C8-4A4D-B7EC-21D70AE6A701}">
            <xm:f>IF(Tabelle2!$AI$51=9,TRUE,FALSE)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C168:G169</xm:sqref>
        </x14:conditionalFormatting>
        <x14:conditionalFormatting xmlns:xm="http://schemas.microsoft.com/office/excel/2006/main">
          <x14:cfRule type="expression" priority="395" id="{B866080E-FA06-433E-B045-B24B73A31F83}">
            <xm:f>IF(Tabelle2!$AF$51=9,TRUE,FALSE)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C161:G162</xm:sqref>
        </x14:conditionalFormatting>
        <x14:conditionalFormatting xmlns:xm="http://schemas.microsoft.com/office/excel/2006/main">
          <x14:cfRule type="expression" priority="394" id="{9139679E-2E24-45FA-A105-0CC0CA65DFC7}">
            <xm:f>IF(Tabelle2!$AC$51=9,TRUE,FALSE)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C154:G155</xm:sqref>
        </x14:conditionalFormatting>
        <x14:conditionalFormatting xmlns:xm="http://schemas.microsoft.com/office/excel/2006/main">
          <x14:cfRule type="expression" priority="393" id="{A1BFA113-B074-4C53-AB82-42936F775019}">
            <xm:f>IF(Tabelle2!$Z$51=9,TRUE,FALSE)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C147:G148</xm:sqref>
        </x14:conditionalFormatting>
        <x14:conditionalFormatting xmlns:xm="http://schemas.microsoft.com/office/excel/2006/main">
          <x14:cfRule type="expression" priority="392" id="{5B7CF887-DDB0-415B-A5B6-181C55F95773}">
            <xm:f>IF(Tabelle2!$W$51=9,TRUE,FALSE)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C141:G142</xm:sqref>
        </x14:conditionalFormatting>
        <x14:conditionalFormatting xmlns:xm="http://schemas.microsoft.com/office/excel/2006/main">
          <x14:cfRule type="expression" priority="391" id="{9531BB11-80B5-460F-9563-7EB9CD6F03DB}">
            <xm:f>IF(Tabelle2!$T$51=9,TRUE,FALSE)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C134:G135</xm:sqref>
        </x14:conditionalFormatting>
        <x14:conditionalFormatting xmlns:xm="http://schemas.microsoft.com/office/excel/2006/main">
          <x14:cfRule type="expression" priority="390" id="{2DFF19DE-8173-4C60-BAD3-224F2D0A6985}">
            <xm:f>IF(Tabelle2!$Q$51=9,TRUE,FALSE)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C127:G127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Sprachen!$B$3:$B$6</xm:f>
          </x14:formula1>
          <xm:sqref>F4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="85" zoomScaleNormal="85" workbookViewId="0">
      <selection activeCell="H4" sqref="H4"/>
    </sheetView>
  </sheetViews>
  <sheetFormatPr baseColWidth="10" defaultRowHeight="15" x14ac:dyDescent="0.25"/>
  <cols>
    <col min="1" max="1" width="23" customWidth="1"/>
    <col min="2" max="2" width="5.42578125" customWidth="1"/>
    <col min="3" max="3" width="30.7109375" customWidth="1"/>
    <col min="4" max="4" width="25" customWidth="1"/>
    <col min="5" max="5" width="6.7109375" customWidth="1"/>
    <col min="6" max="6" width="7.7109375" customWidth="1"/>
    <col min="7" max="7" width="3.85546875" customWidth="1"/>
    <col min="8" max="8" width="10.5703125" customWidth="1"/>
    <col min="9" max="9" width="12.5703125" bestFit="1" customWidth="1"/>
  </cols>
  <sheetData>
    <row r="1" spans="1:10" ht="20.100000000000001" customHeight="1" x14ac:dyDescent="0.25">
      <c r="A1" s="340" t="s">
        <v>2085</v>
      </c>
    </row>
    <row r="2" spans="1:10" ht="20.100000000000001" customHeight="1" x14ac:dyDescent="0.25">
      <c r="A2" s="7" t="s">
        <v>2046</v>
      </c>
    </row>
    <row r="3" spans="1:10" ht="20.100000000000001" customHeight="1" x14ac:dyDescent="0.25">
      <c r="A3" s="593" t="s">
        <v>2064</v>
      </c>
      <c r="C3" s="7" t="s">
        <v>2065</v>
      </c>
      <c r="D3" s="7" t="s">
        <v>2081</v>
      </c>
      <c r="H3" s="593" t="s">
        <v>2062</v>
      </c>
    </row>
    <row r="4" spans="1:10" ht="21.95" customHeight="1" x14ac:dyDescent="0.25">
      <c r="A4" t="str">
        <f>'Berechnung PDL'!R31</f>
        <v>10 [°C]</v>
      </c>
      <c r="C4">
        <f>'Berechnung PDL'!Q31</f>
        <v>1.3069999999999999</v>
      </c>
      <c r="D4" s="595">
        <v>0.01</v>
      </c>
      <c r="H4" t="s">
        <v>2063</v>
      </c>
    </row>
    <row r="5" spans="1:10" ht="21.95" customHeight="1" x14ac:dyDescent="0.25">
      <c r="C5" s="7" t="s">
        <v>2055</v>
      </c>
      <c r="D5" s="7" t="s">
        <v>2054</v>
      </c>
      <c r="E5" s="7" t="s">
        <v>2047</v>
      </c>
      <c r="F5" s="7" t="s">
        <v>2070</v>
      </c>
      <c r="H5" s="7" t="s">
        <v>2058</v>
      </c>
      <c r="I5" s="7" t="s">
        <v>2071</v>
      </c>
    </row>
    <row r="6" spans="1:10" ht="21.95" customHeight="1" x14ac:dyDescent="0.25">
      <c r="A6" s="9" t="str">
        <f>'Berechnung PDL'!F34</f>
        <v xml:space="preserve">Leitungslänge: </v>
      </c>
      <c r="B6" s="597">
        <v>1</v>
      </c>
      <c r="C6" s="9" t="str">
        <f>'Berechnung PDL'!J34</f>
        <v>DN 150 / DE 160; PN 6 - DI 141.8</v>
      </c>
      <c r="D6" s="9" t="str">
        <f>'Berechnung PDL'!O34</f>
        <v>Stahl, längsgeschweißt - neu, Walzhaut</v>
      </c>
      <c r="E6" s="9">
        <f>IF('Berechnung PDL'!L34&gt;1,'Berechnung PDL'!M34,"")</f>
        <v>7.0000000000000007E-2</v>
      </c>
      <c r="F6" s="598">
        <v>7</v>
      </c>
      <c r="G6" s="9" t="str">
        <f>IF('Berechnung PDL'!J34="","",IF('Berechnung PDL'!E34=2," m","stk"))</f>
        <v xml:space="preserve"> m</v>
      </c>
      <c r="H6" s="594">
        <f>IFERROR('Berechnung PDL'!AD34,"")</f>
        <v>2.2807641730772081</v>
      </c>
      <c r="I6" s="373">
        <f>IF('Berechnung PDL'!W34=0,"",'Berechnung PDL'!W34)</f>
        <v>2.9326968684449164</v>
      </c>
      <c r="J6" s="7" t="str">
        <f>IF(H6="","",IF('Berechnung PDL'!AE34=TRUE,"V zu klein",IF('Berechnung PDL'!AF34=TRUE,"V zu gross","")))</f>
        <v/>
      </c>
    </row>
    <row r="7" spans="1:10" ht="21.95" customHeight="1" x14ac:dyDescent="0.25">
      <c r="A7" s="9" t="str">
        <f>'Berechnung PDL'!F35</f>
        <v>Bogen 90° normal</v>
      </c>
      <c r="B7" s="597">
        <v>2</v>
      </c>
      <c r="C7" s="9" t="str">
        <f>'Berechnung PDL'!J35</f>
        <v/>
      </c>
      <c r="D7" s="9" t="str">
        <f>'Berechnung PDL'!O35</f>
        <v>Kunststoff, gezogen/gepreßt - gebraucht</v>
      </c>
      <c r="E7" s="9">
        <f>IF('Berechnung PDL'!L35&gt;1,'Berechnung PDL'!M35,"")</f>
        <v>0.03</v>
      </c>
      <c r="F7" s="598">
        <v>4</v>
      </c>
      <c r="G7" s="9" t="str">
        <f>IF('Berechnung PDL'!J35="","",IF('Berechnung PDL'!E35=2," m","stk"))</f>
        <v/>
      </c>
      <c r="H7" s="594" t="str">
        <f>IFERROR('Berechnung PDL'!AD35,"")</f>
        <v/>
      </c>
      <c r="I7" s="373" t="str">
        <f>IF('Berechnung PDL'!W35=0,"",'Berechnung PDL'!W35)</f>
        <v/>
      </c>
      <c r="J7" s="7" t="str">
        <f>IF(H7="","",IF('Berechnung PDL'!AE35=TRUE,"V zu klein",IF('Berechnung PDL'!AF35=TRUE,"V zu gross","")))</f>
        <v/>
      </c>
    </row>
    <row r="8" spans="1:10" ht="21.95" customHeight="1" x14ac:dyDescent="0.25">
      <c r="A8" s="9" t="str">
        <f>'Berechnung PDL'!F36</f>
        <v>Gerade Rückschlagklappe</v>
      </c>
      <c r="B8" s="597">
        <v>3</v>
      </c>
      <c r="C8" s="9" t="str">
        <f>'Berechnung PDL'!J36</f>
        <v/>
      </c>
      <c r="D8" s="9" t="str">
        <f>'Berechnung PDL'!O36</f>
        <v/>
      </c>
      <c r="E8" s="9" t="str">
        <f>IF('Berechnung PDL'!L36&gt;1,'Berechnung PDL'!M36,"")</f>
        <v/>
      </c>
      <c r="F8" s="598">
        <v>1</v>
      </c>
      <c r="G8" s="9" t="str">
        <f>IF('Berechnung PDL'!J36="","",IF('Berechnung PDL'!E36=2," m","stk"))</f>
        <v/>
      </c>
      <c r="H8" s="594" t="str">
        <f>IFERROR('Berechnung PDL'!AD36,"")</f>
        <v/>
      </c>
      <c r="I8" s="373" t="str">
        <f>IF('Berechnung PDL'!W36=0,"",'Berechnung PDL'!W36)</f>
        <v/>
      </c>
      <c r="J8" s="7" t="str">
        <f>IF(H8="","",IF('Berechnung PDL'!AE36=TRUE,"V zu klein",IF('Berechnung PDL'!AF36=TRUE,"V zu gross","")))</f>
        <v/>
      </c>
    </row>
    <row r="9" spans="1:10" ht="21.95" customHeight="1" x14ac:dyDescent="0.25">
      <c r="A9" s="9" t="str">
        <f>'Berechnung PDL'!F37</f>
        <v>Schieber offen</v>
      </c>
      <c r="B9" s="597">
        <v>4</v>
      </c>
      <c r="C9" s="9" t="str">
        <f>'Berechnung PDL'!J37</f>
        <v/>
      </c>
      <c r="D9" s="9" t="str">
        <f>'Berechnung PDL'!O37</f>
        <v/>
      </c>
      <c r="E9" s="9" t="str">
        <f>IF('Berechnung PDL'!L37&gt;1,'Berechnung PDL'!M37,"")</f>
        <v/>
      </c>
      <c r="F9" s="598">
        <v>1</v>
      </c>
      <c r="G9" s="9" t="str">
        <f>IF('Berechnung PDL'!J37="","",IF('Berechnung PDL'!E37=2," m","stk"))</f>
        <v/>
      </c>
      <c r="H9" s="594" t="str">
        <f>IFERROR('Berechnung PDL'!AD37,"")</f>
        <v/>
      </c>
      <c r="I9" s="373" t="str">
        <f>IF('Berechnung PDL'!W37=0,"",'Berechnung PDL'!W37)</f>
        <v/>
      </c>
      <c r="J9" s="7" t="str">
        <f>IF(H9="","",IF('Berechnung PDL'!AE37=TRUE,"V zu klein",IF('Berechnung PDL'!AF37=TRUE,"V zu gross","")))</f>
        <v/>
      </c>
    </row>
    <row r="10" spans="1:10" ht="21.95" customHeight="1" x14ac:dyDescent="0.25">
      <c r="A10" s="9" t="str">
        <f>'Berechnung PDL'!F38</f>
        <v/>
      </c>
      <c r="B10" s="597">
        <v>5</v>
      </c>
      <c r="C10" s="9" t="str">
        <f>'Berechnung PDL'!J38</f>
        <v/>
      </c>
      <c r="D10" s="9" t="str">
        <f>'Berechnung PDL'!O38</f>
        <v/>
      </c>
      <c r="E10" s="9" t="str">
        <f>IF('Berechnung PDL'!L38&gt;1,'Berechnung PDL'!M38,"")</f>
        <v/>
      </c>
      <c r="F10" s="598"/>
      <c r="G10" s="9" t="str">
        <f>IF('Berechnung PDL'!J38="","",IF('Berechnung PDL'!E38=2," m","stk"))</f>
        <v/>
      </c>
      <c r="H10" s="594" t="str">
        <f>IFERROR('Berechnung PDL'!AD38,"")</f>
        <v/>
      </c>
      <c r="I10" s="373" t="str">
        <f>IF('Berechnung PDL'!W38=0,"",'Berechnung PDL'!W38)</f>
        <v/>
      </c>
      <c r="J10" s="7" t="str">
        <f>IF(H10="","",IF('Berechnung PDL'!AE38=TRUE,"V zu klein",IF('Berechnung PDL'!AF38=TRUE,"V zu gross","")))</f>
        <v/>
      </c>
    </row>
    <row r="11" spans="1:10" ht="21.95" customHeight="1" x14ac:dyDescent="0.25">
      <c r="A11" s="9" t="str">
        <f>'Berechnung PDL'!F39</f>
        <v/>
      </c>
      <c r="B11" s="597">
        <v>6</v>
      </c>
      <c r="C11" s="9" t="str">
        <f>'Berechnung PDL'!J39</f>
        <v/>
      </c>
      <c r="D11" s="9" t="str">
        <f>'Berechnung PDL'!O39</f>
        <v/>
      </c>
      <c r="E11" s="9" t="str">
        <f>IF('Berechnung PDL'!L39&gt;1,'Berechnung PDL'!M39,"")</f>
        <v/>
      </c>
      <c r="F11" s="598"/>
      <c r="G11" s="9" t="str">
        <f>IF('Berechnung PDL'!J39="","",IF('Berechnung PDL'!E39=2," m","stk"))</f>
        <v/>
      </c>
      <c r="H11" s="594" t="str">
        <f>IFERROR('Berechnung PDL'!AD39,"")</f>
        <v/>
      </c>
      <c r="I11" s="373" t="str">
        <f>IF('Berechnung PDL'!W39=0,"",'Berechnung PDL'!W39)</f>
        <v/>
      </c>
      <c r="J11" s="7" t="str">
        <f>IF(H11="","",IF('Berechnung PDL'!AE39=TRUE,"V zu klein",IF('Berechnung PDL'!AF39=TRUE,"V zu gross","")))</f>
        <v/>
      </c>
    </row>
    <row r="12" spans="1:10" ht="21.95" customHeight="1" x14ac:dyDescent="0.25">
      <c r="A12" s="9" t="str">
        <f>'Berechnung PDL'!F40</f>
        <v/>
      </c>
      <c r="B12" s="597">
        <v>7</v>
      </c>
      <c r="C12" s="9" t="str">
        <f>'Berechnung PDL'!J40</f>
        <v/>
      </c>
      <c r="D12" s="9" t="str">
        <f>'Berechnung PDL'!O40</f>
        <v/>
      </c>
      <c r="E12" s="9" t="str">
        <f>IF('Berechnung PDL'!L40&gt;1,'Berechnung PDL'!M40,"")</f>
        <v/>
      </c>
      <c r="F12" s="598"/>
      <c r="G12" s="9" t="str">
        <f>IF('Berechnung PDL'!J40="","",IF('Berechnung PDL'!E40=2," m","stk"))</f>
        <v/>
      </c>
      <c r="H12" s="594" t="str">
        <f>IFERROR('Berechnung PDL'!AD40,"")</f>
        <v/>
      </c>
      <c r="I12" s="373" t="str">
        <f>IF('Berechnung PDL'!W40=0,"",'Berechnung PDL'!W40)</f>
        <v/>
      </c>
      <c r="J12" s="7" t="str">
        <f>IF(H12="","",IF('Berechnung PDL'!AE40=TRUE,"V zu klein",IF('Berechnung PDL'!AF40=TRUE,"V zu gross","")))</f>
        <v/>
      </c>
    </row>
    <row r="13" spans="1:10" ht="21.95" customHeight="1" x14ac:dyDescent="0.25">
      <c r="A13" s="9" t="str">
        <f>'Berechnung PDL'!F41</f>
        <v/>
      </c>
      <c r="B13" s="597">
        <v>8</v>
      </c>
      <c r="C13" s="9" t="str">
        <f>'Berechnung PDL'!J41</f>
        <v/>
      </c>
      <c r="D13" s="9" t="str">
        <f>'Berechnung PDL'!O41</f>
        <v/>
      </c>
      <c r="E13" s="9" t="str">
        <f>IF('Berechnung PDL'!L41&gt;1,'Berechnung PDL'!M41,"")</f>
        <v/>
      </c>
      <c r="F13" s="598"/>
      <c r="G13" s="9" t="str">
        <f>IF('Berechnung PDL'!J41="","",IF('Berechnung PDL'!E41=2," m","stk"))</f>
        <v/>
      </c>
      <c r="H13" s="594" t="str">
        <f>IFERROR('Berechnung PDL'!AD41,"")</f>
        <v/>
      </c>
      <c r="I13" s="373" t="str">
        <f>IF('Berechnung PDL'!W41=0,"",'Berechnung PDL'!W41)</f>
        <v/>
      </c>
      <c r="J13" s="7" t="str">
        <f>IF(H13="","",IF('Berechnung PDL'!AE41=TRUE,"V zu klein",IF('Berechnung PDL'!AF41=TRUE,"V zu gross","")))</f>
        <v/>
      </c>
    </row>
    <row r="14" spans="1:10" ht="21.95" customHeight="1" x14ac:dyDescent="0.25">
      <c r="A14" s="9" t="str">
        <f>'Berechnung PDL'!F42</f>
        <v/>
      </c>
      <c r="B14" s="597">
        <v>9</v>
      </c>
      <c r="C14" s="9" t="str">
        <f>'Berechnung PDL'!J42</f>
        <v/>
      </c>
      <c r="D14" s="9" t="str">
        <f>'Berechnung PDL'!O42</f>
        <v/>
      </c>
      <c r="E14" s="9" t="str">
        <f>IF('Berechnung PDL'!L42&gt;1,'Berechnung PDL'!M42,"")</f>
        <v/>
      </c>
      <c r="F14" s="598"/>
      <c r="G14" s="9" t="str">
        <f>IF('Berechnung PDL'!J42="","",IF('Berechnung PDL'!E42=2," m","stk"))</f>
        <v/>
      </c>
      <c r="H14" s="594" t="str">
        <f>IFERROR('Berechnung PDL'!AD42,"")</f>
        <v/>
      </c>
      <c r="I14" s="373" t="str">
        <f>IF('Berechnung PDL'!W42=0,"",'Berechnung PDL'!W42)</f>
        <v/>
      </c>
      <c r="J14" s="7" t="str">
        <f>IF(H14="","",IF('Berechnung PDL'!AE42=TRUE,"V zu klein",IF('Berechnung PDL'!AF42=TRUE,"V zu gross","")))</f>
        <v/>
      </c>
    </row>
    <row r="15" spans="1:10" ht="21.95" customHeight="1" x14ac:dyDescent="0.25">
      <c r="A15" s="9" t="str">
        <f>'Berechnung PDL'!F43</f>
        <v/>
      </c>
      <c r="B15" s="597">
        <v>10</v>
      </c>
      <c r="C15" s="9" t="str">
        <f>'Berechnung PDL'!J43</f>
        <v/>
      </c>
      <c r="D15" s="9" t="str">
        <f>'Berechnung PDL'!O43</f>
        <v/>
      </c>
      <c r="E15" s="9" t="str">
        <f>IF('Berechnung PDL'!L43&gt;1,'Berechnung PDL'!M43,"")</f>
        <v/>
      </c>
      <c r="F15" s="598"/>
      <c r="G15" s="9" t="str">
        <f>IF('Berechnung PDL'!J43="","",IF('Berechnung PDL'!E43=2," m","stk"))</f>
        <v/>
      </c>
      <c r="H15" s="594" t="str">
        <f>IFERROR('Berechnung PDL'!AD43,"")</f>
        <v/>
      </c>
      <c r="I15" s="373" t="str">
        <f>IF('Berechnung PDL'!W43=0,"",'Berechnung PDL'!W43)</f>
        <v/>
      </c>
      <c r="J15" s="7" t="str">
        <f>IF(H15="","",IF('Berechnung PDL'!AE43=TRUE,"V zu klein",IF('Berechnung PDL'!AF43=TRUE,"V zu gross","")))</f>
        <v/>
      </c>
    </row>
    <row r="16" spans="1:10" ht="21.95" customHeight="1" x14ac:dyDescent="0.25">
      <c r="A16" s="9" t="str">
        <f>'Berechnung PDL'!F43</f>
        <v/>
      </c>
      <c r="B16" s="597">
        <v>11</v>
      </c>
      <c r="C16" s="9" t="str">
        <f>'Berechnung PDL'!J44</f>
        <v/>
      </c>
      <c r="D16" s="9" t="str">
        <f>'Berechnung PDL'!O44</f>
        <v/>
      </c>
      <c r="E16" s="9" t="str">
        <f>IF('Berechnung PDL'!L44&gt;1,'Berechnung PDL'!M44,"")</f>
        <v/>
      </c>
      <c r="F16" s="598"/>
      <c r="G16" s="9" t="str">
        <f>IF('Berechnung PDL'!J44="","",IF('Berechnung PDL'!E44=2," m","stk"))</f>
        <v/>
      </c>
      <c r="H16" s="594" t="str">
        <f>IFERROR('Berechnung PDL'!AD44,"")</f>
        <v/>
      </c>
      <c r="I16" s="373" t="str">
        <f>IF('Berechnung PDL'!W44=0,"",'Berechnung PDL'!W44)</f>
        <v/>
      </c>
      <c r="J16" s="7" t="str">
        <f>IF(H16="","",IF('Berechnung PDL'!AE44=TRUE,"V zu klein",IF('Berechnung PDL'!AF44=TRUE,"V zu gross","")))</f>
        <v/>
      </c>
    </row>
    <row r="17" spans="1:10" ht="21.95" customHeight="1" x14ac:dyDescent="0.25">
      <c r="A17" s="9" t="str">
        <f>'Berechnung PDL'!F45</f>
        <v/>
      </c>
      <c r="B17" s="597">
        <v>12</v>
      </c>
      <c r="C17" s="9" t="str">
        <f>'Berechnung PDL'!J45</f>
        <v/>
      </c>
      <c r="D17" s="9" t="str">
        <f>'Berechnung PDL'!O45</f>
        <v/>
      </c>
      <c r="E17" s="9" t="str">
        <f>IF('Berechnung PDL'!L45&gt;1,'Berechnung PDL'!M45,"")</f>
        <v/>
      </c>
      <c r="F17" s="598"/>
      <c r="G17" s="9" t="str">
        <f>IF('Berechnung PDL'!J45="","",IF('Berechnung PDL'!E45=2," m","stk"))</f>
        <v/>
      </c>
      <c r="H17" s="594" t="str">
        <f>IFERROR('Berechnung PDL'!AD45,"")</f>
        <v/>
      </c>
      <c r="I17" s="373" t="str">
        <f>IF('Berechnung PDL'!W45=0,"",'Berechnung PDL'!W45)</f>
        <v/>
      </c>
      <c r="J17" s="7" t="str">
        <f>IF(H17="","",IF('Berechnung PDL'!AE45=TRUE,"V zu klein",IF('Berechnung PDL'!AF45=TRUE,"V zu gross","")))</f>
        <v/>
      </c>
    </row>
    <row r="18" spans="1:10" ht="21.95" customHeight="1" x14ac:dyDescent="0.25">
      <c r="A18" s="9" t="str">
        <f>'Berechnung PDL'!F46</f>
        <v/>
      </c>
      <c r="B18" s="597">
        <v>13</v>
      </c>
      <c r="C18" s="9" t="str">
        <f>'Berechnung PDL'!J46</f>
        <v/>
      </c>
      <c r="D18" s="9" t="str">
        <f>'Berechnung PDL'!O46</f>
        <v/>
      </c>
      <c r="E18" s="9" t="str">
        <f>IF('Berechnung PDL'!L46&gt;1,'Berechnung PDL'!M46,"")</f>
        <v/>
      </c>
      <c r="F18" s="598"/>
      <c r="G18" s="9" t="str">
        <f>IF('Berechnung PDL'!J46="","",IF('Berechnung PDL'!E46=2," m","stk"))</f>
        <v/>
      </c>
      <c r="H18" s="594" t="str">
        <f>IFERROR('Berechnung PDL'!AD46,"")</f>
        <v/>
      </c>
      <c r="I18" s="373" t="str">
        <f>IF('Berechnung PDL'!W46=0,"",'Berechnung PDL'!W46)</f>
        <v/>
      </c>
      <c r="J18" s="7" t="str">
        <f>IF(H18="","",IF('Berechnung PDL'!AE46=TRUE,"V zu klein",IF('Berechnung PDL'!AF46=TRUE,"V zu gross","")))</f>
        <v/>
      </c>
    </row>
    <row r="19" spans="1:10" ht="21.95" customHeight="1" x14ac:dyDescent="0.25">
      <c r="A19" s="9" t="str">
        <f>'Berechnung PDL'!F47</f>
        <v/>
      </c>
      <c r="B19" s="597">
        <v>14</v>
      </c>
      <c r="C19" s="9" t="str">
        <f>'Berechnung PDL'!J47</f>
        <v/>
      </c>
      <c r="D19" s="9" t="str">
        <f>'Berechnung PDL'!O47</f>
        <v/>
      </c>
      <c r="E19" s="9" t="str">
        <f>IF('Berechnung PDL'!L47&gt;1,'Berechnung PDL'!M47,"")</f>
        <v/>
      </c>
      <c r="F19" s="598"/>
      <c r="G19" s="9" t="str">
        <f>IF('Berechnung PDL'!J47="","",IF('Berechnung PDL'!E47=2," m","stk"))</f>
        <v/>
      </c>
      <c r="H19" s="594" t="str">
        <f>IFERROR('Berechnung PDL'!AD47,"")</f>
        <v/>
      </c>
      <c r="I19" s="373" t="str">
        <f>IF('Berechnung PDL'!W47=0,"",'Berechnung PDL'!W47)</f>
        <v/>
      </c>
      <c r="J19" s="7" t="str">
        <f>IF(H19="","",IF('Berechnung PDL'!AE47=TRUE,"V zu klein",IF('Berechnung PDL'!AF47=TRUE,"V zu gross","")))</f>
        <v/>
      </c>
    </row>
    <row r="20" spans="1:10" ht="21.95" customHeight="1" x14ac:dyDescent="0.25">
      <c r="A20" s="9" t="str">
        <f>'Berechnung PDL'!F48</f>
        <v/>
      </c>
      <c r="B20" s="597">
        <v>15</v>
      </c>
      <c r="C20" s="9" t="str">
        <f>'Berechnung PDL'!J48</f>
        <v/>
      </c>
      <c r="D20" s="9" t="str">
        <f>'Berechnung PDL'!O48</f>
        <v/>
      </c>
      <c r="E20" s="9" t="str">
        <f>IF('Berechnung PDL'!L48&gt;1,'Berechnung PDL'!M48,"")</f>
        <v/>
      </c>
      <c r="F20" s="598"/>
      <c r="G20" s="9" t="str">
        <f>IF('Berechnung PDL'!J48="","",IF('Berechnung PDL'!E48=2," m","stk"))</f>
        <v/>
      </c>
      <c r="H20" s="594" t="str">
        <f>IFERROR('Berechnung PDL'!AD48,"")</f>
        <v/>
      </c>
      <c r="I20" s="373" t="str">
        <f>IF('Berechnung PDL'!W48=0,"",'Berechnung PDL'!W48)</f>
        <v/>
      </c>
      <c r="J20" s="7" t="str">
        <f>IF(H20="","",IF('Berechnung PDL'!AE48=TRUE,"V zu klein",IF('Berechnung PDL'!AF48=TRUE,"V zu gross","")))</f>
        <v/>
      </c>
    </row>
    <row r="21" spans="1:10" ht="21.95" customHeight="1" x14ac:dyDescent="0.25">
      <c r="A21" s="9" t="str">
        <f>'Berechnung PDL'!F49</f>
        <v/>
      </c>
      <c r="B21" s="597">
        <v>16</v>
      </c>
      <c r="C21" s="9" t="str">
        <f>'Berechnung PDL'!J49</f>
        <v/>
      </c>
      <c r="D21" s="9" t="str">
        <f>'Berechnung PDL'!O49</f>
        <v/>
      </c>
      <c r="E21" s="9" t="str">
        <f>IF('Berechnung PDL'!L49&gt;1,'Berechnung PDL'!M49,"")</f>
        <v/>
      </c>
      <c r="F21" s="598"/>
      <c r="G21" s="9" t="str">
        <f>IF('Berechnung PDL'!J49="","",IF('Berechnung PDL'!E49=2," m","stk"))</f>
        <v/>
      </c>
      <c r="H21" s="594" t="str">
        <f>IFERROR('Berechnung PDL'!AD49,"")</f>
        <v/>
      </c>
      <c r="I21" s="373" t="str">
        <f>IF('Berechnung PDL'!W49=0,"",'Berechnung PDL'!W49)</f>
        <v/>
      </c>
      <c r="J21" s="7" t="str">
        <f>IF(H21="","",IF('Berechnung PDL'!AE49=TRUE,"V zu klein",IF('Berechnung PDL'!AF49=TRUE,"V zu gross","")))</f>
        <v/>
      </c>
    </row>
    <row r="22" spans="1:10" ht="21.95" customHeight="1" x14ac:dyDescent="0.25">
      <c r="A22" s="9" t="str">
        <f>'Berechnung PDL'!F50</f>
        <v/>
      </c>
      <c r="B22" s="597">
        <v>17</v>
      </c>
      <c r="C22" s="9" t="str">
        <f>'Berechnung PDL'!J50</f>
        <v/>
      </c>
      <c r="D22" s="9" t="str">
        <f>'Berechnung PDL'!O50</f>
        <v/>
      </c>
      <c r="E22" s="9" t="str">
        <f>IF('Berechnung PDL'!L50&gt;1,'Berechnung PDL'!M50,"")</f>
        <v/>
      </c>
      <c r="F22" s="598"/>
      <c r="G22" s="9" t="str">
        <f>IF('Berechnung PDL'!J50="","",IF('Berechnung PDL'!E50=2," m","stk"))</f>
        <v/>
      </c>
      <c r="H22" s="594" t="str">
        <f>IFERROR('Berechnung PDL'!AD50,"")</f>
        <v/>
      </c>
      <c r="I22" s="373" t="str">
        <f>IF('Berechnung PDL'!W50=0,"",'Berechnung PDL'!W50)</f>
        <v/>
      </c>
      <c r="J22" s="7" t="str">
        <f>IF(H22="","",IF('Berechnung PDL'!AE50=TRUE,"V zu klein",IF('Berechnung PDL'!AF50=TRUE,"V zu gross","")))</f>
        <v/>
      </c>
    </row>
    <row r="23" spans="1:10" ht="21.95" customHeight="1" x14ac:dyDescent="0.25">
      <c r="A23" s="9"/>
      <c r="B23" s="9"/>
      <c r="C23" s="9"/>
      <c r="D23" s="9"/>
      <c r="E23" s="9"/>
      <c r="F23" s="9"/>
      <c r="G23" s="9"/>
      <c r="H23" s="7" t="s">
        <v>2072</v>
      </c>
      <c r="I23" s="594">
        <f>IF('Berechnung PDL'!W51=0,"",'Berechnung PDL'!W51)</f>
        <v>2.9326968684449164</v>
      </c>
    </row>
    <row r="24" spans="1:10" ht="20.100000000000001" customHeight="1" x14ac:dyDescent="0.25">
      <c r="A24" s="47" t="str">
        <f>IF('Berechnung PDL'!S32=1,"Aus PumpStationSelector (PSS): ","")</f>
        <v/>
      </c>
      <c r="B24" s="9"/>
      <c r="C24" s="9"/>
      <c r="D24" s="47" t="str">
        <f>IF('Berechnung PDL'!S32=2,"nur Druckleitung: ","")</f>
        <v xml:space="preserve">nur Druckleitung: </v>
      </c>
      <c r="E24" s="9"/>
      <c r="F24" s="599"/>
    </row>
    <row r="25" spans="1:10" ht="20.100000000000001" customHeight="1" x14ac:dyDescent="0.25">
      <c r="A25" s="9" t="str">
        <f>IF('Berechnung PDL'!S32=1,"Q in l/s: ","")</f>
        <v/>
      </c>
      <c r="B25" s="9"/>
      <c r="C25" s="59" t="str">
        <f>IF('Berechnung PDL'!S32=1,Schachtselector!$G$97,"")</f>
        <v/>
      </c>
      <c r="D25" s="9" t="str">
        <f>IF('Berechnung PDL'!S32=2,"Q in l/s:","")</f>
        <v>Q in l/s:</v>
      </c>
      <c r="E25" s="9"/>
      <c r="F25" s="599">
        <v>36</v>
      </c>
    </row>
    <row r="26" spans="1:10" ht="20.100000000000001" customHeight="1" x14ac:dyDescent="0.25">
      <c r="A26" s="9" t="str">
        <f>IF('Berechnung PDL'!S32=1,"HGEO ok Schacht-h-max in m:","")</f>
        <v/>
      </c>
      <c r="B26" s="9"/>
      <c r="C26" s="598"/>
      <c r="D26" s="9" t="str">
        <f>IF('Berechnung PDL'!S32=2,"HGEO bis ok Schacht:","")</f>
        <v>HGEO bis ok Schacht:</v>
      </c>
      <c r="E26" s="9"/>
      <c r="F26" s="599">
        <v>6</v>
      </c>
    </row>
    <row r="27" spans="1:10" ht="20.100000000000001" customHeight="1" x14ac:dyDescent="0.25">
      <c r="A27" s="9"/>
      <c r="B27" s="9"/>
      <c r="C27" s="9"/>
      <c r="D27" s="9" t="str">
        <f>IF('Berechnung PDL'!S32=2,"HGEO PDL innerhalb  Schacht:","")</f>
        <v>HGEO PDL innerhalb  Schacht:</v>
      </c>
      <c r="E27" s="9"/>
      <c r="F27" s="599"/>
    </row>
    <row r="28" spans="1:10" ht="20.100000000000001" customHeight="1" x14ac:dyDescent="0.25">
      <c r="A28" s="9" t="str">
        <f>IF('Berechnung PDL'!S32=1,"HGEO PDL innerhalb  Schacht:","")</f>
        <v/>
      </c>
      <c r="B28" s="9"/>
      <c r="C28" s="603" t="str">
        <f>IF('Berechnung PDL'!S32=1,'Berechnung PDL'!I61/1000,"""")</f>
        <v>"</v>
      </c>
      <c r="D28" s="9" t="str">
        <f>IF('Berechnung PDL'!S32=2,"HGEo PDL - Ok Schacht:","")</f>
        <v>HGEo PDL - Ok Schacht:</v>
      </c>
      <c r="E28" s="9"/>
      <c r="F28" s="599"/>
    </row>
    <row r="29" spans="1:10" ht="20.100000000000001" customHeight="1" x14ac:dyDescent="0.25">
      <c r="A29" s="9" t="str">
        <f>IF('Berechnung PDL'!H54=3,"",IF('Berechnung PDL'!S32=1,"HGEo PDL - Ok Schacht aus PSS:",""))</f>
        <v/>
      </c>
      <c r="B29" s="9"/>
      <c r="C29" s="601" t="str">
        <f>IF('Berechnung PDL'!H54=3,0,IF('Berechnung PDL'!S32=1,'Berechnung PDL'!J62/1000,""))</f>
        <v/>
      </c>
      <c r="D29" s="9"/>
      <c r="E29" s="9"/>
      <c r="F29" s="599"/>
    </row>
    <row r="30" spans="1:10" ht="20.100000000000001" customHeight="1" x14ac:dyDescent="0.25">
      <c r="A30" s="9" t="s">
        <v>2076</v>
      </c>
      <c r="B30" s="9"/>
      <c r="C30" s="604">
        <f>IF('Berechnung PDL'!S32=1,SUM(C26:C29),PDL!F28+PDL!F27+PDL!F26)</f>
        <v>6</v>
      </c>
      <c r="D30" s="9"/>
      <c r="E30" s="9"/>
      <c r="F30" s="599"/>
    </row>
    <row r="31" spans="1:10" ht="20.100000000000001" customHeight="1" x14ac:dyDescent="0.25">
      <c r="A31" s="9" t="s">
        <v>2073</v>
      </c>
      <c r="B31" s="9"/>
      <c r="C31" s="602">
        <f>'Berechnung PDL'!W51</f>
        <v>2.9326968684449164</v>
      </c>
      <c r="D31" s="9"/>
      <c r="E31" s="9"/>
      <c r="F31" s="9"/>
    </row>
    <row r="32" spans="1:10" ht="20.100000000000001" customHeight="1" x14ac:dyDescent="0.25">
      <c r="A32" s="9" t="s">
        <v>2075</v>
      </c>
      <c r="B32" s="9"/>
      <c r="C32" s="600" t="str">
        <f>SUM(C30:C31)&amp;" m"</f>
        <v>8.93269686844492 m</v>
      </c>
      <c r="D32" s="9"/>
      <c r="E32" s="9"/>
      <c r="F32" s="9"/>
    </row>
  </sheetData>
  <conditionalFormatting sqref="H9:H22">
    <cfRule type="cellIs" dxfId="46" priority="46" operator="lessThan">
      <formula>0.7</formula>
    </cfRule>
  </conditionalFormatting>
  <conditionalFormatting sqref="H6:H8">
    <cfRule type="cellIs" dxfId="45" priority="45" operator="lessThan">
      <formula>0.7</formula>
    </cfRule>
  </conditionalFormatting>
  <conditionalFormatting sqref="H11:H22">
    <cfRule type="cellIs" dxfId="44" priority="44" operator="greaterThan">
      <formula>2.3</formula>
    </cfRule>
  </conditionalFormatting>
  <conditionalFormatting sqref="H6:H10">
    <cfRule type="cellIs" dxfId="43" priority="43" operator="greaterThan">
      <formula>2.3</formula>
    </cfRule>
  </conditionalFormatting>
  <pageMargins left="0.7" right="0.7" top="0.78740157499999996" bottom="0.78740157499999996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print="0" autoLine="0" autoPict="0">
                <anchor moveWithCells="1">
                  <from>
                    <xdr:col>0</xdr:col>
                    <xdr:colOff>85725</xdr:colOff>
                    <xdr:row>5</xdr:row>
                    <xdr:rowOff>19050</xdr:rowOff>
                  </from>
                  <to>
                    <xdr:col>0</xdr:col>
                    <xdr:colOff>1524000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Drop Down 2">
              <controlPr defaultSize="0" print="0" autoLine="0" autoPict="0">
                <anchor moveWithCells="1">
                  <from>
                    <xdr:col>2</xdr:col>
                    <xdr:colOff>28575</xdr:colOff>
                    <xdr:row>5</xdr:row>
                    <xdr:rowOff>19050</xdr:rowOff>
                  </from>
                  <to>
                    <xdr:col>2</xdr:col>
                    <xdr:colOff>2009775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6" name="Drop Down 35">
              <controlPr defaultSize="0" print="0" autoLine="0" autoPict="0">
                <anchor moveWithCells="1">
                  <from>
                    <xdr:col>3</xdr:col>
                    <xdr:colOff>47625</xdr:colOff>
                    <xdr:row>5</xdr:row>
                    <xdr:rowOff>28575</xdr:rowOff>
                  </from>
                  <to>
                    <xdr:col>3</xdr:col>
                    <xdr:colOff>1628775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7" name="Drop Down 52">
              <controlPr defaultSize="0" print="0" autoLine="0" autoPict="0">
                <anchor moveWithCells="1">
                  <from>
                    <xdr:col>0</xdr:col>
                    <xdr:colOff>76200</xdr:colOff>
                    <xdr:row>3</xdr:row>
                    <xdr:rowOff>28575</xdr:rowOff>
                  </from>
                  <to>
                    <xdr:col>0</xdr:col>
                    <xdr:colOff>1514475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8" name="Drop Down 53">
              <controlPr defaultSize="0" print="0" autoLine="0" autoPict="0">
                <anchor moveWithCells="1">
                  <from>
                    <xdr:col>0</xdr:col>
                    <xdr:colOff>66675</xdr:colOff>
                    <xdr:row>11</xdr:row>
                    <xdr:rowOff>19050</xdr:rowOff>
                  </from>
                  <to>
                    <xdr:col>0</xdr:col>
                    <xdr:colOff>1504950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9" name="Drop Down 54">
              <controlPr defaultSize="0" print="0" autoLine="0" autoPict="0">
                <anchor moveWithCells="1">
                  <from>
                    <xdr:col>0</xdr:col>
                    <xdr:colOff>66675</xdr:colOff>
                    <xdr:row>10</xdr:row>
                    <xdr:rowOff>19050</xdr:rowOff>
                  </from>
                  <to>
                    <xdr:col>0</xdr:col>
                    <xdr:colOff>1504950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10" name="Drop Down 55">
              <controlPr defaultSize="0" print="0" autoLine="0" autoPict="0">
                <anchor moveWithCells="1">
                  <from>
                    <xdr:col>0</xdr:col>
                    <xdr:colOff>76200</xdr:colOff>
                    <xdr:row>6</xdr:row>
                    <xdr:rowOff>28575</xdr:rowOff>
                  </from>
                  <to>
                    <xdr:col>0</xdr:col>
                    <xdr:colOff>1514475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11" name="Drop Down 56">
              <controlPr defaultSize="0" print="0" autoLine="0" autoPict="0">
                <anchor moveWithCells="1">
                  <from>
                    <xdr:col>0</xdr:col>
                    <xdr:colOff>66675</xdr:colOff>
                    <xdr:row>7</xdr:row>
                    <xdr:rowOff>28575</xdr:rowOff>
                  </from>
                  <to>
                    <xdr:col>0</xdr:col>
                    <xdr:colOff>1504950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12" name="Dropdown 57">
              <controlPr defaultSize="0" print="0" autoLine="0" autoPict="0">
                <anchor moveWithCells="1">
                  <from>
                    <xdr:col>0</xdr:col>
                    <xdr:colOff>66675</xdr:colOff>
                    <xdr:row>8</xdr:row>
                    <xdr:rowOff>19050</xdr:rowOff>
                  </from>
                  <to>
                    <xdr:col>0</xdr:col>
                    <xdr:colOff>1504950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13" name="Dropdown 58">
              <controlPr defaultSize="0" print="0" autoLine="0" autoPict="0">
                <anchor moveWithCells="1">
                  <from>
                    <xdr:col>0</xdr:col>
                    <xdr:colOff>66675</xdr:colOff>
                    <xdr:row>21</xdr:row>
                    <xdr:rowOff>0</xdr:rowOff>
                  </from>
                  <to>
                    <xdr:col>0</xdr:col>
                    <xdr:colOff>1504950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14" name="Dropdown 59">
              <controlPr defaultSize="0" print="0" autoLine="0" autoPict="0">
                <anchor moveWithCells="1">
                  <from>
                    <xdr:col>0</xdr:col>
                    <xdr:colOff>66675</xdr:colOff>
                    <xdr:row>20</xdr:row>
                    <xdr:rowOff>9525</xdr:rowOff>
                  </from>
                  <to>
                    <xdr:col>0</xdr:col>
                    <xdr:colOff>1504950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15" name="Dropdown 60">
              <controlPr defaultSize="0" print="0" autoLine="0" autoPict="0">
                <anchor moveWithCells="1">
                  <from>
                    <xdr:col>0</xdr:col>
                    <xdr:colOff>66675</xdr:colOff>
                    <xdr:row>19</xdr:row>
                    <xdr:rowOff>9525</xdr:rowOff>
                  </from>
                  <to>
                    <xdr:col>0</xdr:col>
                    <xdr:colOff>1504950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16" name="Dropdown 61">
              <controlPr defaultSize="0" print="0" autoLine="0" autoPict="0">
                <anchor moveWithCells="1">
                  <from>
                    <xdr:col>0</xdr:col>
                    <xdr:colOff>66675</xdr:colOff>
                    <xdr:row>15</xdr:row>
                    <xdr:rowOff>19050</xdr:rowOff>
                  </from>
                  <to>
                    <xdr:col>0</xdr:col>
                    <xdr:colOff>1504950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17" name="Dropdown 62">
              <controlPr defaultSize="0" print="0" autoLine="0" autoPict="0">
                <anchor moveWithCells="1">
                  <from>
                    <xdr:col>0</xdr:col>
                    <xdr:colOff>66675</xdr:colOff>
                    <xdr:row>14</xdr:row>
                    <xdr:rowOff>19050</xdr:rowOff>
                  </from>
                  <to>
                    <xdr:col>0</xdr:col>
                    <xdr:colOff>1504950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18" name="Dropdown 63">
              <controlPr defaultSize="0" print="0" autoLine="0" autoPict="0">
                <anchor moveWithCells="1">
                  <from>
                    <xdr:col>0</xdr:col>
                    <xdr:colOff>66675</xdr:colOff>
                    <xdr:row>13</xdr:row>
                    <xdr:rowOff>19050</xdr:rowOff>
                  </from>
                  <to>
                    <xdr:col>0</xdr:col>
                    <xdr:colOff>1504950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19" name="Dropdown 64">
              <controlPr defaultSize="0" print="0" autoLine="0" autoPict="0">
                <anchor moveWithCells="1">
                  <from>
                    <xdr:col>0</xdr:col>
                    <xdr:colOff>66675</xdr:colOff>
                    <xdr:row>12</xdr:row>
                    <xdr:rowOff>19050</xdr:rowOff>
                  </from>
                  <to>
                    <xdr:col>0</xdr:col>
                    <xdr:colOff>1504950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20" name="Dropdown 65">
              <controlPr defaultSize="0" print="0" autoLine="0" autoPict="0">
                <anchor moveWithCells="1">
                  <from>
                    <xdr:col>0</xdr:col>
                    <xdr:colOff>57150</xdr:colOff>
                    <xdr:row>9</xdr:row>
                    <xdr:rowOff>19050</xdr:rowOff>
                  </from>
                  <to>
                    <xdr:col>0</xdr:col>
                    <xdr:colOff>1495425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21" name="Dropdown 66">
              <controlPr defaultSize="0" print="0" autoLine="0" autoPict="0">
                <anchor moveWithCells="1">
                  <from>
                    <xdr:col>0</xdr:col>
                    <xdr:colOff>66675</xdr:colOff>
                    <xdr:row>18</xdr:row>
                    <xdr:rowOff>9525</xdr:rowOff>
                  </from>
                  <to>
                    <xdr:col>0</xdr:col>
                    <xdr:colOff>1504950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22" name="Dropdown 67">
              <controlPr defaultSize="0" print="0" autoLine="0" autoPict="0">
                <anchor moveWithCells="1">
                  <from>
                    <xdr:col>0</xdr:col>
                    <xdr:colOff>66675</xdr:colOff>
                    <xdr:row>17</xdr:row>
                    <xdr:rowOff>9525</xdr:rowOff>
                  </from>
                  <to>
                    <xdr:col>0</xdr:col>
                    <xdr:colOff>1504950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23" name="Dropdown 68">
              <controlPr defaultSize="0" print="0" autoLine="0" autoPict="0">
                <anchor moveWithCells="1">
                  <from>
                    <xdr:col>0</xdr:col>
                    <xdr:colOff>66675</xdr:colOff>
                    <xdr:row>16</xdr:row>
                    <xdr:rowOff>19050</xdr:rowOff>
                  </from>
                  <to>
                    <xdr:col>0</xdr:col>
                    <xdr:colOff>1504950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24" name="Drop Down 69">
              <controlPr defaultSize="0" print="0" autoLine="0" autoPict="0">
                <anchor moveWithCells="1">
                  <from>
                    <xdr:col>2</xdr:col>
                    <xdr:colOff>9525</xdr:colOff>
                    <xdr:row>20</xdr:row>
                    <xdr:rowOff>9525</xdr:rowOff>
                  </from>
                  <to>
                    <xdr:col>2</xdr:col>
                    <xdr:colOff>1990725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25" name="Drop Down 70">
              <controlPr defaultSize="0" print="0" autoLine="0" autoPict="0">
                <anchor moveWithCells="1">
                  <from>
                    <xdr:col>2</xdr:col>
                    <xdr:colOff>19050</xdr:colOff>
                    <xdr:row>6</xdr:row>
                    <xdr:rowOff>28575</xdr:rowOff>
                  </from>
                  <to>
                    <xdr:col>2</xdr:col>
                    <xdr:colOff>2000250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26" name="Drop Down 71">
              <controlPr defaultSize="0" print="0" autoLine="0" autoPict="0">
                <anchor moveWithCells="1">
                  <from>
                    <xdr:col>2</xdr:col>
                    <xdr:colOff>9525</xdr:colOff>
                    <xdr:row>17</xdr:row>
                    <xdr:rowOff>9525</xdr:rowOff>
                  </from>
                  <to>
                    <xdr:col>2</xdr:col>
                    <xdr:colOff>1990725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27" name="Drop Down 72">
              <controlPr defaultSize="0" print="0" autoLine="0" autoPict="0">
                <anchor moveWithCells="1">
                  <from>
                    <xdr:col>2</xdr:col>
                    <xdr:colOff>0</xdr:colOff>
                    <xdr:row>19</xdr:row>
                    <xdr:rowOff>9525</xdr:rowOff>
                  </from>
                  <to>
                    <xdr:col>2</xdr:col>
                    <xdr:colOff>1981200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28" name="Drop Down 73">
              <controlPr defaultSize="0" print="0" autoLine="0" autoPict="0">
                <anchor moveWithCells="1">
                  <from>
                    <xdr:col>2</xdr:col>
                    <xdr:colOff>9525</xdr:colOff>
                    <xdr:row>18</xdr:row>
                    <xdr:rowOff>9525</xdr:rowOff>
                  </from>
                  <to>
                    <xdr:col>2</xdr:col>
                    <xdr:colOff>1990725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29" name="Drop Down 74">
              <controlPr defaultSize="0" print="0" autoLine="0" autoPict="0">
                <anchor moveWithCells="1">
                  <from>
                    <xdr:col>2</xdr:col>
                    <xdr:colOff>9525</xdr:colOff>
                    <xdr:row>16</xdr:row>
                    <xdr:rowOff>9525</xdr:rowOff>
                  </from>
                  <to>
                    <xdr:col>2</xdr:col>
                    <xdr:colOff>1990725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30" name="Drop Down 75">
              <controlPr defaultSize="0" print="0" autoLine="0" autoPict="0">
                <anchor moveWithCells="1">
                  <from>
                    <xdr:col>2</xdr:col>
                    <xdr:colOff>9525</xdr:colOff>
                    <xdr:row>15</xdr:row>
                    <xdr:rowOff>19050</xdr:rowOff>
                  </from>
                  <to>
                    <xdr:col>2</xdr:col>
                    <xdr:colOff>1990725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31" name="Drop Down 76">
              <controlPr defaultSize="0" print="0" autoLine="0" autoPict="0">
                <anchor moveWithCells="1">
                  <from>
                    <xdr:col>2</xdr:col>
                    <xdr:colOff>19050</xdr:colOff>
                    <xdr:row>14</xdr:row>
                    <xdr:rowOff>19050</xdr:rowOff>
                  </from>
                  <to>
                    <xdr:col>2</xdr:col>
                    <xdr:colOff>2000250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32" name="Drop Down 77">
              <controlPr defaultSize="0" print="0" autoLine="0" autoPict="0">
                <anchor moveWithCells="1">
                  <from>
                    <xdr:col>2</xdr:col>
                    <xdr:colOff>19050</xdr:colOff>
                    <xdr:row>13</xdr:row>
                    <xdr:rowOff>19050</xdr:rowOff>
                  </from>
                  <to>
                    <xdr:col>2</xdr:col>
                    <xdr:colOff>2000250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33" name="Drop Down 78">
              <controlPr defaultSize="0" print="0" autoLine="0" autoPict="0">
                <anchor moveWithCells="1">
                  <from>
                    <xdr:col>2</xdr:col>
                    <xdr:colOff>19050</xdr:colOff>
                    <xdr:row>12</xdr:row>
                    <xdr:rowOff>19050</xdr:rowOff>
                  </from>
                  <to>
                    <xdr:col>2</xdr:col>
                    <xdr:colOff>2000250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34" name="Drop Down 79">
              <controlPr defaultSize="0" print="0" autoLine="0" autoPict="0">
                <anchor moveWithCells="1">
                  <from>
                    <xdr:col>2</xdr:col>
                    <xdr:colOff>19050</xdr:colOff>
                    <xdr:row>11</xdr:row>
                    <xdr:rowOff>28575</xdr:rowOff>
                  </from>
                  <to>
                    <xdr:col>2</xdr:col>
                    <xdr:colOff>2000250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4" r:id="rId35" name="Drop Down 80">
              <controlPr defaultSize="0" print="0" autoLine="0" autoPict="0">
                <anchor moveWithCells="1">
                  <from>
                    <xdr:col>2</xdr:col>
                    <xdr:colOff>19050</xdr:colOff>
                    <xdr:row>10</xdr:row>
                    <xdr:rowOff>28575</xdr:rowOff>
                  </from>
                  <to>
                    <xdr:col>2</xdr:col>
                    <xdr:colOff>2000250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36" name="Drop Down 81">
              <controlPr defaultSize="0" print="0" autoLine="0" autoPict="0">
                <anchor moveWithCells="1">
                  <from>
                    <xdr:col>2</xdr:col>
                    <xdr:colOff>19050</xdr:colOff>
                    <xdr:row>9</xdr:row>
                    <xdr:rowOff>28575</xdr:rowOff>
                  </from>
                  <to>
                    <xdr:col>2</xdr:col>
                    <xdr:colOff>2000250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37" name="Drop Down 82">
              <controlPr defaultSize="0" print="0" autoLine="0" autoPict="0">
                <anchor moveWithCells="1">
                  <from>
                    <xdr:col>2</xdr:col>
                    <xdr:colOff>19050</xdr:colOff>
                    <xdr:row>8</xdr:row>
                    <xdr:rowOff>28575</xdr:rowOff>
                  </from>
                  <to>
                    <xdr:col>2</xdr:col>
                    <xdr:colOff>2000250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38" name="Drop Down 83">
              <controlPr defaultSize="0" print="0" autoLine="0" autoPict="0">
                <anchor moveWithCells="1">
                  <from>
                    <xdr:col>2</xdr:col>
                    <xdr:colOff>19050</xdr:colOff>
                    <xdr:row>7</xdr:row>
                    <xdr:rowOff>28575</xdr:rowOff>
                  </from>
                  <to>
                    <xdr:col>2</xdr:col>
                    <xdr:colOff>2000250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39" name="Drop Down 85">
              <controlPr defaultSize="0" print="0" autoLine="0" autoPict="0">
                <anchor moveWithCells="1">
                  <from>
                    <xdr:col>2</xdr:col>
                    <xdr:colOff>9525</xdr:colOff>
                    <xdr:row>21</xdr:row>
                    <xdr:rowOff>0</xdr:rowOff>
                  </from>
                  <to>
                    <xdr:col>2</xdr:col>
                    <xdr:colOff>1990725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40" name="Drop Down 101">
              <controlPr defaultSize="0" print="0" autoLine="0" autoPict="0">
                <anchor moveWithCells="1">
                  <from>
                    <xdr:col>3</xdr:col>
                    <xdr:colOff>28575</xdr:colOff>
                    <xdr:row>21</xdr:row>
                    <xdr:rowOff>38100</xdr:rowOff>
                  </from>
                  <to>
                    <xdr:col>3</xdr:col>
                    <xdr:colOff>1609725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41" name="Drop Down 102">
              <controlPr defaultSize="0" print="0" autoLine="0" autoPict="0">
                <anchor moveWithCells="1">
                  <from>
                    <xdr:col>3</xdr:col>
                    <xdr:colOff>28575</xdr:colOff>
                    <xdr:row>20</xdr:row>
                    <xdr:rowOff>0</xdr:rowOff>
                  </from>
                  <to>
                    <xdr:col>3</xdr:col>
                    <xdr:colOff>1609725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" r:id="rId42" name="Drop Down 103">
              <controlPr defaultSize="0" print="0" autoLine="0" autoPict="0">
                <anchor moveWithCells="1">
                  <from>
                    <xdr:col>3</xdr:col>
                    <xdr:colOff>38100</xdr:colOff>
                    <xdr:row>15</xdr:row>
                    <xdr:rowOff>9525</xdr:rowOff>
                  </from>
                  <to>
                    <xdr:col>3</xdr:col>
                    <xdr:colOff>1619250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" r:id="rId43" name="Drop Down 104">
              <controlPr defaultSize="0" print="0" autoLine="0" autoPict="0">
                <anchor moveWithCells="1">
                  <from>
                    <xdr:col>3</xdr:col>
                    <xdr:colOff>38100</xdr:colOff>
                    <xdr:row>14</xdr:row>
                    <xdr:rowOff>9525</xdr:rowOff>
                  </from>
                  <to>
                    <xdr:col>3</xdr:col>
                    <xdr:colOff>1619250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9" r:id="rId44" name="Drop Down 105">
              <controlPr defaultSize="0" print="0" autoLine="0" autoPict="0">
                <anchor moveWithCells="1">
                  <from>
                    <xdr:col>3</xdr:col>
                    <xdr:colOff>47625</xdr:colOff>
                    <xdr:row>13</xdr:row>
                    <xdr:rowOff>9525</xdr:rowOff>
                  </from>
                  <to>
                    <xdr:col>3</xdr:col>
                    <xdr:colOff>1628775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0" r:id="rId45" name="Drop Down 106">
              <controlPr defaultSize="0" print="0" autoLine="0" autoPict="0">
                <anchor moveWithCells="1">
                  <from>
                    <xdr:col>3</xdr:col>
                    <xdr:colOff>47625</xdr:colOff>
                    <xdr:row>12</xdr:row>
                    <xdr:rowOff>9525</xdr:rowOff>
                  </from>
                  <to>
                    <xdr:col>3</xdr:col>
                    <xdr:colOff>1628775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1" r:id="rId46" name="Drop Down 107">
              <controlPr defaultSize="0" print="0" autoLine="0" autoPict="0">
                <anchor moveWithCells="1">
                  <from>
                    <xdr:col>3</xdr:col>
                    <xdr:colOff>47625</xdr:colOff>
                    <xdr:row>11</xdr:row>
                    <xdr:rowOff>9525</xdr:rowOff>
                  </from>
                  <to>
                    <xdr:col>3</xdr:col>
                    <xdr:colOff>1628775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2" r:id="rId47" name="Drop Down 108">
              <controlPr defaultSize="0" print="0" autoLine="0" autoPict="0">
                <anchor moveWithCells="1">
                  <from>
                    <xdr:col>3</xdr:col>
                    <xdr:colOff>47625</xdr:colOff>
                    <xdr:row>10</xdr:row>
                    <xdr:rowOff>9525</xdr:rowOff>
                  </from>
                  <to>
                    <xdr:col>3</xdr:col>
                    <xdr:colOff>1628775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3" r:id="rId48" name="Drop Down 109">
              <controlPr defaultSize="0" print="0" autoLine="0" autoPict="0">
                <anchor moveWithCells="1">
                  <from>
                    <xdr:col>3</xdr:col>
                    <xdr:colOff>47625</xdr:colOff>
                    <xdr:row>9</xdr:row>
                    <xdr:rowOff>9525</xdr:rowOff>
                  </from>
                  <to>
                    <xdr:col>3</xdr:col>
                    <xdr:colOff>1628775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4" r:id="rId49" name="Drop Down 110">
              <controlPr defaultSize="0" print="0" autoLine="0" autoPict="0">
                <anchor moveWithCells="1">
                  <from>
                    <xdr:col>3</xdr:col>
                    <xdr:colOff>47625</xdr:colOff>
                    <xdr:row>8</xdr:row>
                    <xdr:rowOff>9525</xdr:rowOff>
                  </from>
                  <to>
                    <xdr:col>3</xdr:col>
                    <xdr:colOff>1628775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5" r:id="rId50" name="Drop Down 111">
              <controlPr defaultSize="0" print="0" autoLine="0" autoPict="0">
                <anchor moveWithCells="1">
                  <from>
                    <xdr:col>3</xdr:col>
                    <xdr:colOff>47625</xdr:colOff>
                    <xdr:row>7</xdr:row>
                    <xdr:rowOff>9525</xdr:rowOff>
                  </from>
                  <to>
                    <xdr:col>3</xdr:col>
                    <xdr:colOff>1628775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6" r:id="rId51" name="Drop Down 112">
              <controlPr defaultSize="0" print="0" autoLine="0" autoPict="0">
                <anchor moveWithCells="1">
                  <from>
                    <xdr:col>3</xdr:col>
                    <xdr:colOff>47625</xdr:colOff>
                    <xdr:row>6</xdr:row>
                    <xdr:rowOff>19050</xdr:rowOff>
                  </from>
                  <to>
                    <xdr:col>3</xdr:col>
                    <xdr:colOff>1628775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7" r:id="rId52" name="Drop Down 113">
              <controlPr defaultSize="0" print="0" autoLine="0" autoPict="0">
                <anchor moveWithCells="1">
                  <from>
                    <xdr:col>3</xdr:col>
                    <xdr:colOff>28575</xdr:colOff>
                    <xdr:row>17</xdr:row>
                    <xdr:rowOff>0</xdr:rowOff>
                  </from>
                  <to>
                    <xdr:col>3</xdr:col>
                    <xdr:colOff>1609725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8" r:id="rId53" name="Drop Down 114">
              <controlPr defaultSize="0" print="0" autoLine="0" autoPict="0">
                <anchor moveWithCells="1">
                  <from>
                    <xdr:col>3</xdr:col>
                    <xdr:colOff>28575</xdr:colOff>
                    <xdr:row>18</xdr:row>
                    <xdr:rowOff>0</xdr:rowOff>
                  </from>
                  <to>
                    <xdr:col>3</xdr:col>
                    <xdr:colOff>1609725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9" r:id="rId54" name="Drop Down 115">
              <controlPr defaultSize="0" print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3</xdr:col>
                    <xdr:colOff>1609725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0" r:id="rId55" name="Drop Down 116">
              <controlPr defaultSize="0" print="0" autoLine="0" autoPict="0">
                <anchor moveWithCells="1">
                  <from>
                    <xdr:col>3</xdr:col>
                    <xdr:colOff>28575</xdr:colOff>
                    <xdr:row>19</xdr:row>
                    <xdr:rowOff>0</xdr:rowOff>
                  </from>
                  <to>
                    <xdr:col>3</xdr:col>
                    <xdr:colOff>1609725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1" r:id="rId56" name="Dropdown 117">
              <controlPr defaultSize="0" print="0" autoLine="0" autoPict="0">
                <anchor moveWithCells="1">
                  <from>
                    <xdr:col>2</xdr:col>
                    <xdr:colOff>57150</xdr:colOff>
                    <xdr:row>23</xdr:row>
                    <xdr:rowOff>9525</xdr:rowOff>
                  </from>
                  <to>
                    <xdr:col>2</xdr:col>
                    <xdr:colOff>2038350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3" r:id="rId57" name="Dropdown 119">
              <controlPr defaultSize="0" print="0" autoLine="0" autoPict="0">
                <anchor moveWithCells="1">
                  <from>
                    <xdr:col>2</xdr:col>
                    <xdr:colOff>47625</xdr:colOff>
                    <xdr:row>26</xdr:row>
                    <xdr:rowOff>9525</xdr:rowOff>
                  </from>
                  <to>
                    <xdr:col>2</xdr:col>
                    <xdr:colOff>2028825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0" r:id="rId58" name="Drop Down 136">
              <controlPr defaultSize="0" print="0" autoLine="0" autoPict="0">
                <anchor moveWithCells="1">
                  <from>
                    <xdr:col>2</xdr:col>
                    <xdr:colOff>19050</xdr:colOff>
                    <xdr:row>9</xdr:row>
                    <xdr:rowOff>28575</xdr:rowOff>
                  </from>
                  <to>
                    <xdr:col>2</xdr:col>
                    <xdr:colOff>2000250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1" r:id="rId59" name="Drop Down 137">
              <controlPr defaultSize="0" print="0" autoLine="0" autoPict="0">
                <anchor moveWithCells="1">
                  <from>
                    <xdr:col>2</xdr:col>
                    <xdr:colOff>19050</xdr:colOff>
                    <xdr:row>10</xdr:row>
                    <xdr:rowOff>28575</xdr:rowOff>
                  </from>
                  <to>
                    <xdr:col>2</xdr:col>
                    <xdr:colOff>2000250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2" r:id="rId60" name="Drop Down 138">
              <controlPr defaultSize="0" print="0" autoLine="0" autoPict="0">
                <anchor moveWithCells="1">
                  <from>
                    <xdr:col>2</xdr:col>
                    <xdr:colOff>19050</xdr:colOff>
                    <xdr:row>11</xdr:row>
                    <xdr:rowOff>28575</xdr:rowOff>
                  </from>
                  <to>
                    <xdr:col>2</xdr:col>
                    <xdr:colOff>2000250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3" r:id="rId61" name="Drop Down 139">
              <controlPr defaultSize="0" print="0" autoLine="0" autoPict="0">
                <anchor moveWithCells="1">
                  <from>
                    <xdr:col>2</xdr:col>
                    <xdr:colOff>19050</xdr:colOff>
                    <xdr:row>12</xdr:row>
                    <xdr:rowOff>28575</xdr:rowOff>
                  </from>
                  <to>
                    <xdr:col>2</xdr:col>
                    <xdr:colOff>2000250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4" r:id="rId62" name="Drop Down 140">
              <controlPr defaultSize="0" print="0" autoLine="0" autoPict="0">
                <anchor moveWithCells="1">
                  <from>
                    <xdr:col>2</xdr:col>
                    <xdr:colOff>19050</xdr:colOff>
                    <xdr:row>13</xdr:row>
                    <xdr:rowOff>28575</xdr:rowOff>
                  </from>
                  <to>
                    <xdr:col>2</xdr:col>
                    <xdr:colOff>2000250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5" r:id="rId63" name="Drop Down 141">
              <controlPr defaultSize="0" print="0" autoLine="0" autoPict="0">
                <anchor moveWithCells="1">
                  <from>
                    <xdr:col>2</xdr:col>
                    <xdr:colOff>19050</xdr:colOff>
                    <xdr:row>14</xdr:row>
                    <xdr:rowOff>28575</xdr:rowOff>
                  </from>
                  <to>
                    <xdr:col>2</xdr:col>
                    <xdr:colOff>2000250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6" r:id="rId64" name="Drop Down 142">
              <controlPr defaultSize="0" print="0" autoLine="0" autoPict="0">
                <anchor moveWithCells="1">
                  <from>
                    <xdr:col>2</xdr:col>
                    <xdr:colOff>19050</xdr:colOff>
                    <xdr:row>15</xdr:row>
                    <xdr:rowOff>28575</xdr:rowOff>
                  </from>
                  <to>
                    <xdr:col>2</xdr:col>
                    <xdr:colOff>2000250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7" r:id="rId65" name="Drop Down 143">
              <controlPr defaultSize="0" print="0" autoLine="0" autoPict="0">
                <anchor moveWithCells="1">
                  <from>
                    <xdr:col>2</xdr:col>
                    <xdr:colOff>19050</xdr:colOff>
                    <xdr:row>16</xdr:row>
                    <xdr:rowOff>28575</xdr:rowOff>
                  </from>
                  <to>
                    <xdr:col>2</xdr:col>
                    <xdr:colOff>2000250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8" r:id="rId66" name="Drop Down 144">
              <controlPr defaultSize="0" print="0" autoLine="0" autoPict="0">
                <anchor moveWithCells="1">
                  <from>
                    <xdr:col>2</xdr:col>
                    <xdr:colOff>19050</xdr:colOff>
                    <xdr:row>17</xdr:row>
                    <xdr:rowOff>28575</xdr:rowOff>
                  </from>
                  <to>
                    <xdr:col>2</xdr:col>
                    <xdr:colOff>2000250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9" r:id="rId67" name="Drop Down 145">
              <controlPr defaultSize="0" print="0" autoLine="0" autoPict="0">
                <anchor moveWithCells="1">
                  <from>
                    <xdr:col>2</xdr:col>
                    <xdr:colOff>19050</xdr:colOff>
                    <xdr:row>18</xdr:row>
                    <xdr:rowOff>28575</xdr:rowOff>
                  </from>
                  <to>
                    <xdr:col>2</xdr:col>
                    <xdr:colOff>2000250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0" r:id="rId68" name="Drop Down 146">
              <controlPr defaultSize="0" print="0" autoLine="0" autoPict="0">
                <anchor moveWithCells="1">
                  <from>
                    <xdr:col>2</xdr:col>
                    <xdr:colOff>19050</xdr:colOff>
                    <xdr:row>19</xdr:row>
                    <xdr:rowOff>28575</xdr:rowOff>
                  </from>
                  <to>
                    <xdr:col>2</xdr:col>
                    <xdr:colOff>2000250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1" r:id="rId69" name="Drop Down 147">
              <controlPr defaultSize="0" print="0" autoLine="0" autoPict="0">
                <anchor moveWithCells="1">
                  <from>
                    <xdr:col>2</xdr:col>
                    <xdr:colOff>19050</xdr:colOff>
                    <xdr:row>20</xdr:row>
                    <xdr:rowOff>28575</xdr:rowOff>
                  </from>
                  <to>
                    <xdr:col>2</xdr:col>
                    <xdr:colOff>2000250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2" r:id="rId70" name="Drop Down 148">
              <controlPr defaultSize="0" print="0" autoLine="0" autoPict="0">
                <anchor moveWithCells="1">
                  <from>
                    <xdr:col>2</xdr:col>
                    <xdr:colOff>19050</xdr:colOff>
                    <xdr:row>21</xdr:row>
                    <xdr:rowOff>28575</xdr:rowOff>
                  </from>
                  <to>
                    <xdr:col>2</xdr:col>
                    <xdr:colOff>2000250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09" id="{609063FD-D64A-40CD-BC30-E59E740E8D2F}">
            <xm:f>IF('Berechnung PDL'!$P$34=TRUE,TRUE,FALSE)</xm:f>
            <x14:dxf>
              <font>
                <b/>
                <i val="0"/>
                <strike val="0"/>
                <color rgb="FFFF0000"/>
              </font>
            </x14:dxf>
          </x14:cfRule>
          <x14:cfRule type="expression" priority="510" id="{48AEF8A1-8624-42D6-B654-356F35432CC3}">
            <xm:f>IF('Berechnung PDL'!$AG$34=FALSE,TRUE,FALSE)</xm:f>
            <x14:dxf>
              <font>
                <b/>
                <i val="0"/>
                <color rgb="FF00B050"/>
              </font>
            </x14:dxf>
          </x14:cfRule>
          <xm:sqref>H6</xm:sqref>
        </x14:conditionalFormatting>
        <x14:conditionalFormatting xmlns:xm="http://schemas.microsoft.com/office/excel/2006/main">
          <x14:cfRule type="expression" priority="511" id="{2E4E7C0E-A8DD-4768-ACAA-712DCB1B9F25}">
            <xm:f>IF('Berechnung PDL'!$AG$35=FALSE,TRUE,FALSE)</xm:f>
            <x14:dxf>
              <font>
                <b/>
                <i val="0"/>
                <color rgb="FF00B050"/>
              </font>
            </x14:dxf>
          </x14:cfRule>
          <xm:sqref>H7</xm:sqref>
        </x14:conditionalFormatting>
        <x14:conditionalFormatting xmlns:xm="http://schemas.microsoft.com/office/excel/2006/main">
          <x14:cfRule type="expression" priority="512" id="{76A6D405-DF7B-43E2-A6A4-B90E4B79F813}">
            <xm:f>IF('Berechnung PDL'!$AG$36=FALSE,TRUE,FALSE)</xm:f>
            <x14:dxf>
              <font>
                <color rgb="FF00B050"/>
              </font>
            </x14:dxf>
          </x14:cfRule>
          <xm:sqref>H8</xm:sqref>
        </x14:conditionalFormatting>
        <x14:conditionalFormatting xmlns:xm="http://schemas.microsoft.com/office/excel/2006/main">
          <x14:cfRule type="expression" priority="513" id="{C7D0F025-1879-47C7-ACC9-271AF681AC9B}">
            <xm:f>IF('Berechnung PDL'!$AG$38=TRUE,TRUE,FALSE)</xm:f>
            <x14:dxf>
              <font>
                <b/>
                <i val="0"/>
                <strike val="0"/>
                <color rgb="FFFF0000"/>
              </font>
            </x14:dxf>
          </x14:cfRule>
          <x14:cfRule type="expression" priority="514" id="{9F7ED6F6-EB13-4699-A1EC-0D7C3CCD1646}">
            <xm:f>IF('Berechnung PDL'!$AG$38=FALSE,TRUE,FALSE)</xm:f>
            <x14:dxf>
              <font>
                <color rgb="FF00B050"/>
              </font>
            </x14:dxf>
          </x14:cfRule>
          <xm:sqref>H10</xm:sqref>
        </x14:conditionalFormatting>
        <x14:conditionalFormatting xmlns:xm="http://schemas.microsoft.com/office/excel/2006/main">
          <x14:cfRule type="expression" priority="515" id="{26093B27-B6E4-40FF-AA72-BD8915182746}">
            <xm:f>IF('Berechnung PDL'!$AG$37=FALSE,TRUE,FALSE)</xm:f>
            <x14:dxf>
              <font>
                <b/>
                <i val="0"/>
                <color rgb="FF00B050"/>
              </font>
            </x14:dxf>
          </x14:cfRule>
          <xm:sqref>H9</xm:sqref>
        </x14:conditionalFormatting>
        <x14:conditionalFormatting xmlns:xm="http://schemas.microsoft.com/office/excel/2006/main">
          <x14:cfRule type="expression" priority="516" id="{4882D7DA-78FD-4998-B5EA-E28C2AB73D18}">
            <xm:f>IF('Berechnung PDL'!$AG$39=FALSE,TRUE,FALSE)</xm:f>
            <x14:dxf>
              <font>
                <b/>
                <i val="0"/>
                <color rgb="FF00B050"/>
              </font>
            </x14:dxf>
          </x14:cfRule>
          <xm:sqref>H11</xm:sqref>
        </x14:conditionalFormatting>
        <x14:conditionalFormatting xmlns:xm="http://schemas.microsoft.com/office/excel/2006/main">
          <x14:cfRule type="expression" priority="517" id="{9ACDC2A0-CC87-4809-900C-22338CBD849B}">
            <xm:f>IF('Berechnung PDL'!$AG$40=FALSE,TRUE,FALSE)</xm:f>
            <x14:dxf>
              <font>
                <b/>
                <i val="0"/>
                <color rgb="FF00B050"/>
              </font>
            </x14:dxf>
          </x14:cfRule>
          <xm:sqref>H12</xm:sqref>
        </x14:conditionalFormatting>
        <x14:conditionalFormatting xmlns:xm="http://schemas.microsoft.com/office/excel/2006/main">
          <x14:cfRule type="expression" priority="518" id="{2A2EF4D2-79F8-4931-8E05-93203291B3E7}">
            <xm:f>IF('Berechnung PDL'!$AG$41=FALSE,TRUE,FALSE)</xm:f>
            <x14:dxf>
              <font>
                <b/>
                <i val="0"/>
                <color rgb="FF00B050"/>
              </font>
            </x14:dxf>
          </x14:cfRule>
          <xm:sqref>H13</xm:sqref>
        </x14:conditionalFormatting>
        <x14:conditionalFormatting xmlns:xm="http://schemas.microsoft.com/office/excel/2006/main">
          <x14:cfRule type="expression" priority="519" id="{F5DD7C67-0A8C-4E38-B361-C36340672008}">
            <xm:f>IF('Berechnung PDL'!$AG$42=FALSE,TRUE,FALSE)</xm:f>
            <x14:dxf>
              <font>
                <b/>
                <i val="0"/>
                <color rgb="FF00B050"/>
              </font>
            </x14:dxf>
          </x14:cfRule>
          <xm:sqref>H14</xm:sqref>
        </x14:conditionalFormatting>
        <x14:conditionalFormatting xmlns:xm="http://schemas.microsoft.com/office/excel/2006/main">
          <x14:cfRule type="expression" priority="520" id="{D4972633-AF93-4886-A8FD-2949371C2CEC}">
            <xm:f>IF('Berechnung PDL'!$AG$43=FALSE,TRUE,FALSE)</xm:f>
            <x14:dxf>
              <font>
                <b/>
                <i val="0"/>
                <color rgb="FF00B050"/>
              </font>
            </x14:dxf>
          </x14:cfRule>
          <xm:sqref>H15</xm:sqref>
        </x14:conditionalFormatting>
        <x14:conditionalFormatting xmlns:xm="http://schemas.microsoft.com/office/excel/2006/main">
          <x14:cfRule type="expression" priority="521" id="{24C2D633-914F-4296-9C0A-9132563D73C3}">
            <xm:f>IF('Berechnung PDL'!$AG$44=FALSE,TRUE,FALSE)</xm:f>
            <x14:dxf>
              <font>
                <b/>
                <i val="0"/>
                <color rgb="FF00B050"/>
              </font>
            </x14:dxf>
          </x14:cfRule>
          <xm:sqref>H16</xm:sqref>
        </x14:conditionalFormatting>
        <x14:conditionalFormatting xmlns:xm="http://schemas.microsoft.com/office/excel/2006/main">
          <x14:cfRule type="expression" priority="522" id="{692D39B5-E97B-451F-B39E-E127504D790E}">
            <xm:f>IF('Berechnung PDL'!$AG$45=FALSE,TRUE,FALSE)</xm:f>
            <x14:dxf>
              <font>
                <b/>
                <i val="0"/>
                <color rgb="FF00B050"/>
              </font>
            </x14:dxf>
          </x14:cfRule>
          <xm:sqref>H17</xm:sqref>
        </x14:conditionalFormatting>
        <x14:conditionalFormatting xmlns:xm="http://schemas.microsoft.com/office/excel/2006/main">
          <x14:cfRule type="expression" priority="523" id="{1AA121CF-06F1-41EB-9332-E3016DF0C4C2}">
            <xm:f>IF('Berechnung PDL'!$AG$46=FALSE,TRUE,FALSE)</xm:f>
            <x14:dxf>
              <font>
                <b/>
                <i val="0"/>
                <color rgb="FF00B050"/>
              </font>
            </x14:dxf>
          </x14:cfRule>
          <xm:sqref>H18</xm:sqref>
        </x14:conditionalFormatting>
        <x14:conditionalFormatting xmlns:xm="http://schemas.microsoft.com/office/excel/2006/main">
          <x14:cfRule type="expression" priority="524" id="{439670F8-51C1-47FA-8455-630C4FF69A2B}">
            <xm:f>IF('Berechnung PDL'!$AG$47=FALSE,TRUE,FALSE)</xm:f>
            <x14:dxf>
              <font>
                <b/>
                <i val="0"/>
                <color rgb="FF00B050"/>
              </font>
            </x14:dxf>
          </x14:cfRule>
          <xm:sqref>H19</xm:sqref>
        </x14:conditionalFormatting>
        <x14:conditionalFormatting xmlns:xm="http://schemas.microsoft.com/office/excel/2006/main">
          <x14:cfRule type="expression" priority="525" id="{5937C952-9B25-40AA-B585-045BF8EEE0C6}">
            <xm:f>IF('Berechnung PDL'!$AG$48=FALSE,TRUE,FALSE)</xm:f>
            <x14:dxf>
              <font>
                <b/>
                <i val="0"/>
                <color rgb="FF00B050"/>
              </font>
            </x14:dxf>
          </x14:cfRule>
          <xm:sqref>H20</xm:sqref>
        </x14:conditionalFormatting>
        <x14:conditionalFormatting xmlns:xm="http://schemas.microsoft.com/office/excel/2006/main">
          <x14:cfRule type="expression" priority="526" id="{3E053E46-D5E2-4B67-BC51-2B020465B248}">
            <xm:f>IF('Berechnung PDL'!$AG$49=FALSE,TRUE,FALSE)</xm:f>
            <x14:dxf>
              <font>
                <b/>
                <i val="0"/>
                <color rgb="FF00B050"/>
              </font>
            </x14:dxf>
          </x14:cfRule>
          <xm:sqref>H21</xm:sqref>
        </x14:conditionalFormatting>
        <x14:conditionalFormatting xmlns:xm="http://schemas.microsoft.com/office/excel/2006/main">
          <x14:cfRule type="expression" priority="527" id="{8EFB5BDF-C338-4C42-A24A-8B109D4C6618}">
            <xm:f>IF('Berechnung PDL'!$AG$50=FALSE,TRUE,FALSE)</xm:f>
            <x14:dxf>
              <font>
                <b/>
                <i val="0"/>
                <color rgb="FF00B050"/>
              </font>
            </x14:dxf>
          </x14:cfRule>
          <xm:sqref>H22</xm:sqref>
        </x14:conditionalFormatting>
        <x14:conditionalFormatting xmlns:xm="http://schemas.microsoft.com/office/excel/2006/main">
          <x14:cfRule type="expression" priority="528" id="{5C29677A-24DC-4938-A02A-43518169F7A0}">
            <xm:f>IF('Berechnung PDL'!$T$32=TRUE,TRUE,FALSE)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F25:F29</xm:sqref>
        </x14:conditionalFormatting>
        <x14:conditionalFormatting xmlns:xm="http://schemas.microsoft.com/office/excel/2006/main">
          <x14:cfRule type="expression" priority="529" id="{A9FFC89D-906F-4E2D-97C7-73024CCC3280}">
            <xm:f>IF('Berechnung PDL'!$T$32=FALSE,TRUE,FALSE)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C26</xm:sqref>
        </x14:conditionalFormatting>
        <x14:conditionalFormatting xmlns:xm="http://schemas.microsoft.com/office/excel/2006/main">
          <x14:cfRule type="expression" priority="530" id="{47BDCB30-F94E-4672-AFAD-231CF27BE7F9}">
            <xm:f>IF('Berechnung PDL'!$P$34=TRUE,TRUE,FALSE)</xm:f>
            <x14:dxf>
              <font>
                <b/>
                <i val="0"/>
                <strike val="0"/>
                <color rgb="FFFF0000"/>
              </font>
            </x14:dxf>
          </x14:cfRule>
          <xm:sqref>H7:H22</xm:sqref>
        </x14:conditionalFormatting>
        <x14:conditionalFormatting xmlns:xm="http://schemas.microsoft.com/office/excel/2006/main">
          <x14:cfRule type="expression" priority="20" id="{5B9F2FD7-234F-4F2F-B29E-A810389712CC}">
            <xm:f>IF('Berechnung PDL'!$N$34=TRUE,TRUE,falch)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F6</xm:sqref>
        </x14:conditionalFormatting>
        <x14:conditionalFormatting xmlns:xm="http://schemas.microsoft.com/office/excel/2006/main">
          <x14:cfRule type="expression" priority="19" id="{A299E5EF-7219-49DE-9FCC-B2A1FCAE86AC}">
            <xm:f>IF('Berechnung PDL'!$N$35=TRUE,TRUE,falch)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F7</xm:sqref>
        </x14:conditionalFormatting>
        <x14:conditionalFormatting xmlns:xm="http://schemas.microsoft.com/office/excel/2006/main">
          <x14:cfRule type="expression" priority="18" id="{81AA30F5-8624-4A65-8D26-407D68B0ED55}">
            <xm:f>IF('Berechnung PDL'!$N$36=TRUE,TRUE,falch)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F8</xm:sqref>
        </x14:conditionalFormatting>
        <x14:conditionalFormatting xmlns:xm="http://schemas.microsoft.com/office/excel/2006/main">
          <x14:cfRule type="expression" priority="17" id="{C196B32E-255F-4D2E-B5F1-67B8B8BC8134}">
            <xm:f>IF('Berechnung PDL'!$N$37=TRUE,TRUE,falch)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F9</xm:sqref>
        </x14:conditionalFormatting>
        <x14:conditionalFormatting xmlns:xm="http://schemas.microsoft.com/office/excel/2006/main">
          <x14:cfRule type="expression" priority="15" id="{8D022F2D-4A7C-47E9-AC15-009BD3C063B6}">
            <xm:f>IF('Berechnung PDL'!$N$38=TRUE,TRUE,falch)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F10</xm:sqref>
        </x14:conditionalFormatting>
        <x14:conditionalFormatting xmlns:xm="http://schemas.microsoft.com/office/excel/2006/main">
          <x14:cfRule type="expression" priority="14" id="{ABAC8F3D-F3C4-4B66-8CBB-4CA554E86F14}">
            <xm:f>IF('Berechnung PDL'!$N$39=TRUE,TRUE,falch)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F11</xm:sqref>
        </x14:conditionalFormatting>
        <x14:conditionalFormatting xmlns:xm="http://schemas.microsoft.com/office/excel/2006/main">
          <x14:cfRule type="expression" priority="13" id="{95A7D8EB-15B5-4CDA-BE14-86F1DB4B406F}">
            <xm:f>IF('Berechnung PDL'!$N$40=TRUE,TRUE,falch)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F12</xm:sqref>
        </x14:conditionalFormatting>
        <x14:conditionalFormatting xmlns:xm="http://schemas.microsoft.com/office/excel/2006/main">
          <x14:cfRule type="expression" priority="12" id="{8CE6D563-7C0C-43F4-8E36-64E626E35007}">
            <xm:f>IF('Berechnung PDL'!$N$41=TRUE,TRUE,falch)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F13</xm:sqref>
        </x14:conditionalFormatting>
        <x14:conditionalFormatting xmlns:xm="http://schemas.microsoft.com/office/excel/2006/main">
          <x14:cfRule type="expression" priority="11" id="{67B3A39E-FFE9-4787-B1AB-319DCA4B538A}">
            <xm:f>IF('Berechnung PDL'!$N$42=TRUE,TRUE,falch)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F14</xm:sqref>
        </x14:conditionalFormatting>
        <x14:conditionalFormatting xmlns:xm="http://schemas.microsoft.com/office/excel/2006/main">
          <x14:cfRule type="expression" priority="10" id="{42586E48-6CDE-4387-B564-5CD3134FE977}">
            <xm:f>IF('Berechnung PDL'!$N$43=TRUE,TRUE,falch)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F15</xm:sqref>
        </x14:conditionalFormatting>
        <x14:conditionalFormatting xmlns:xm="http://schemas.microsoft.com/office/excel/2006/main">
          <x14:cfRule type="expression" priority="9" id="{5A62B86B-09D3-41B8-9A40-E3E230D9A308}">
            <xm:f>IF('Berechnung PDL'!$N$44=TRUE,TRUE,falch)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F16</xm:sqref>
        </x14:conditionalFormatting>
        <x14:conditionalFormatting xmlns:xm="http://schemas.microsoft.com/office/excel/2006/main">
          <x14:cfRule type="expression" priority="8" id="{43DC6B7B-CC7E-4ABB-AA9E-9A0F17EC3016}">
            <xm:f>IF('Berechnung PDL'!$N$45=TRUE,TRUE,falch)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F17</xm:sqref>
        </x14:conditionalFormatting>
        <x14:conditionalFormatting xmlns:xm="http://schemas.microsoft.com/office/excel/2006/main">
          <x14:cfRule type="expression" priority="7" id="{F6B595A1-9716-44AB-92B3-E0203E660829}">
            <xm:f>IF('Berechnung PDL'!$N$46=TRUE,TRUE,falch)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F18</xm:sqref>
        </x14:conditionalFormatting>
        <x14:conditionalFormatting xmlns:xm="http://schemas.microsoft.com/office/excel/2006/main">
          <x14:cfRule type="expression" priority="6" id="{10CB0DBC-EB76-43BD-B15A-8F496B9E10C3}">
            <xm:f>IF('Berechnung PDL'!$N$47=TRUE,TRUE,falch)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F19</xm:sqref>
        </x14:conditionalFormatting>
        <x14:conditionalFormatting xmlns:xm="http://schemas.microsoft.com/office/excel/2006/main">
          <x14:cfRule type="expression" priority="5" id="{FEEF3A32-6F26-437B-A67E-C9252214DCAB}">
            <xm:f>IF('Berechnung PDL'!$N$48=TRUE,TRUE,falch)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4" id="{6FCBD943-96E2-436F-B85C-4DAFD9E65E6D}">
            <xm:f>IF('Berechnung PDL'!$N$49=TRUE,TRUE,falch)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3" id="{BC8E39CC-1BBB-4323-8A1E-D1439FEB17C1}">
            <xm:f>IF('Berechnung PDL'!$N$50=TRUE,TRUE,falch)</xm:f>
            <x14:dxf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2" id="{BE84AB29-3731-4E59-8046-5679F9436C85}">
            <xm:f>IF('Berechnung PDL'!$H$55=TRUE,TRUE,FALSE)</xm:f>
            <x14:dxf>
              <font>
                <color theme="0"/>
              </font>
            </x14:dxf>
          </x14:cfRule>
          <xm:sqref>C29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3"/>
  <sheetViews>
    <sheetView topLeftCell="A43" zoomScale="75" zoomScaleNormal="75" workbookViewId="0">
      <selection activeCell="M34" sqref="M34"/>
    </sheetView>
  </sheetViews>
  <sheetFormatPr baseColWidth="10" defaultRowHeight="15" x14ac:dyDescent="0.25"/>
  <cols>
    <col min="2" max="2" width="25.85546875" customWidth="1"/>
    <col min="3" max="3" width="14.7109375" customWidth="1"/>
    <col min="10" max="10" width="28.85546875" customWidth="1"/>
    <col min="14" max="14" width="14" customWidth="1"/>
    <col min="15" max="15" width="39.7109375" customWidth="1"/>
    <col min="20" max="20" width="26.85546875" customWidth="1"/>
    <col min="21" max="21" width="15.85546875" customWidth="1"/>
    <col min="22" max="22" width="13.85546875" customWidth="1"/>
  </cols>
  <sheetData>
    <row r="1" spans="1:17" x14ac:dyDescent="0.25">
      <c r="A1" s="513"/>
      <c r="B1" s="513"/>
      <c r="C1" s="514" t="s">
        <v>1923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</row>
    <row r="2" spans="1:17" ht="15.75" thickBot="1" x14ac:dyDescent="0.3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</row>
    <row r="3" spans="1:17" x14ac:dyDescent="0.25">
      <c r="A3" s="513"/>
      <c r="B3" s="513"/>
      <c r="C3" s="515" t="s">
        <v>1924</v>
      </c>
      <c r="D3" s="516"/>
      <c r="E3" s="516"/>
      <c r="F3" s="517"/>
      <c r="G3" s="513"/>
      <c r="H3" s="515" t="s">
        <v>1925</v>
      </c>
      <c r="I3" s="518"/>
      <c r="J3" s="516"/>
      <c r="K3" s="517"/>
      <c r="L3" s="513"/>
      <c r="M3" s="513"/>
    </row>
    <row r="4" spans="1:17" x14ac:dyDescent="0.25">
      <c r="A4" s="513"/>
      <c r="B4" s="513"/>
      <c r="C4" s="519" t="s">
        <v>1926</v>
      </c>
      <c r="D4" s="520" t="s">
        <v>1927</v>
      </c>
      <c r="E4" s="553">
        <v>3</v>
      </c>
      <c r="F4" s="522" t="s">
        <v>1928</v>
      </c>
      <c r="G4" s="513"/>
      <c r="H4" s="519" t="s">
        <v>1929</v>
      </c>
      <c r="I4" s="523" t="s">
        <v>1930</v>
      </c>
      <c r="J4" s="524">
        <f>(J8*E5)/(E8*10^-6)</f>
        <v>52779.618369228374</v>
      </c>
      <c r="K4" s="522" t="s">
        <v>1931</v>
      </c>
      <c r="L4" s="513"/>
      <c r="M4" s="513"/>
    </row>
    <row r="5" spans="1:17" x14ac:dyDescent="0.25">
      <c r="A5" s="513"/>
      <c r="B5" s="513"/>
      <c r="C5" s="519" t="s">
        <v>1932</v>
      </c>
      <c r="D5" s="520" t="s">
        <v>1933</v>
      </c>
      <c r="E5" s="521">
        <v>5.5399999999999998E-2</v>
      </c>
      <c r="F5" s="522" t="s">
        <v>1934</v>
      </c>
      <c r="G5" s="513"/>
      <c r="H5" s="519" t="s">
        <v>1935</v>
      </c>
      <c r="I5" s="523" t="s">
        <v>1936</v>
      </c>
      <c r="J5" s="525" t="str">
        <f>IF(J4&lt;2320,64/J4,"nicht laminar")</f>
        <v>nicht laminar</v>
      </c>
      <c r="K5" s="522" t="s">
        <v>1931</v>
      </c>
      <c r="L5" s="513"/>
      <c r="M5" s="526"/>
    </row>
    <row r="6" spans="1:17" x14ac:dyDescent="0.25">
      <c r="A6" s="513"/>
      <c r="B6" s="513"/>
      <c r="C6" s="519" t="s">
        <v>1937</v>
      </c>
      <c r="D6" s="520" t="s">
        <v>1938</v>
      </c>
      <c r="E6" s="521">
        <v>7</v>
      </c>
      <c r="F6" s="522" t="s">
        <v>1934</v>
      </c>
      <c r="G6" s="513"/>
      <c r="H6" s="519" t="s">
        <v>1939</v>
      </c>
      <c r="I6" s="523" t="s">
        <v>1936</v>
      </c>
      <c r="J6" s="527">
        <f>0.31/(LOG(0.135*(($E$7/$E$5)+(6.5/$J$4))))^2</f>
        <v>5.1021142325434955E-2</v>
      </c>
      <c r="K6" s="522" t="s">
        <v>1931</v>
      </c>
      <c r="L6" s="513"/>
      <c r="M6" s="526"/>
    </row>
    <row r="7" spans="1:17" x14ac:dyDescent="0.25">
      <c r="A7" s="513"/>
      <c r="B7" s="513"/>
      <c r="C7" s="519" t="s">
        <v>1940</v>
      </c>
      <c r="D7" s="520" t="s">
        <v>1941</v>
      </c>
      <c r="E7" s="521">
        <v>1.4E-3</v>
      </c>
      <c r="F7" s="522" t="s">
        <v>1934</v>
      </c>
      <c r="G7" s="513"/>
      <c r="H7" s="528" t="s">
        <v>1942</v>
      </c>
      <c r="I7" s="529" t="s">
        <v>1936</v>
      </c>
      <c r="J7" s="530">
        <f>IF(ISNUMBER(J5),J5, J6)</f>
        <v>5.1021142325434955E-2</v>
      </c>
      <c r="K7" s="531" t="s">
        <v>1931</v>
      </c>
      <c r="L7" s="513"/>
      <c r="M7" s="526"/>
    </row>
    <row r="8" spans="1:17" x14ac:dyDescent="0.25">
      <c r="A8" s="513"/>
      <c r="B8" s="513"/>
      <c r="C8" s="519" t="s">
        <v>1943</v>
      </c>
      <c r="D8" s="520" t="s">
        <v>1944</v>
      </c>
      <c r="E8" s="521">
        <v>1.3069999999999999</v>
      </c>
      <c r="F8" s="522" t="s">
        <v>1945</v>
      </c>
      <c r="G8" s="513"/>
      <c r="H8" s="519" t="s">
        <v>1946</v>
      </c>
      <c r="I8" s="520" t="s">
        <v>1947</v>
      </c>
      <c r="J8" s="532">
        <f>E4/(1000*(E5^2*3.14)/4)</f>
        <v>1.2451798052090521</v>
      </c>
      <c r="K8" s="522" t="s">
        <v>1948</v>
      </c>
      <c r="L8" s="513"/>
      <c r="M8" s="533"/>
    </row>
    <row r="9" spans="1:17" ht="15.75" thickBot="1" x14ac:dyDescent="0.3">
      <c r="A9" s="513"/>
      <c r="B9" s="513"/>
      <c r="C9" s="534" t="s">
        <v>1949</v>
      </c>
      <c r="D9" s="535" t="s">
        <v>1950</v>
      </c>
      <c r="E9" s="536">
        <v>9.81</v>
      </c>
      <c r="F9" s="537" t="s">
        <v>1951</v>
      </c>
      <c r="G9" s="513"/>
      <c r="H9" s="534" t="s">
        <v>1952</v>
      </c>
      <c r="I9" s="535" t="s">
        <v>1953</v>
      </c>
      <c r="J9" s="538">
        <f>$J$7*($E$6*$J$8^2)/($E$5*2*$E$9)</f>
        <v>0.50945237029008916</v>
      </c>
      <c r="K9" s="537" t="s">
        <v>1934</v>
      </c>
      <c r="L9" s="513"/>
      <c r="M9" s="533"/>
    </row>
    <row r="10" spans="1:17" x14ac:dyDescent="0.25">
      <c r="A10" s="513"/>
      <c r="B10" s="513"/>
      <c r="C10" s="513"/>
      <c r="D10" s="539"/>
      <c r="E10" s="513"/>
      <c r="F10" s="513"/>
      <c r="G10" s="513"/>
      <c r="H10" s="513"/>
      <c r="I10" s="513"/>
      <c r="J10" s="513"/>
      <c r="K10" s="513"/>
      <c r="L10" s="513"/>
      <c r="M10" s="513"/>
    </row>
    <row r="11" spans="1:17" x14ac:dyDescent="0.25">
      <c r="A11" s="513"/>
      <c r="B11" s="513"/>
      <c r="C11" s="513"/>
      <c r="D11" s="513"/>
      <c r="E11" s="540"/>
      <c r="F11" s="513"/>
      <c r="G11" s="513"/>
      <c r="H11" s="513"/>
      <c r="I11" s="513"/>
      <c r="J11" s="513"/>
      <c r="K11" s="513"/>
      <c r="L11" s="513"/>
      <c r="M11" s="513"/>
    </row>
    <row r="12" spans="1:17" ht="30" x14ac:dyDescent="0.25">
      <c r="A12" s="513"/>
      <c r="C12" s="558" t="s">
        <v>1954</v>
      </c>
      <c r="D12" s="693" t="s">
        <v>1955</v>
      </c>
      <c r="E12" s="694"/>
      <c r="F12" s="694"/>
      <c r="G12" s="513"/>
      <c r="H12" s="558" t="s">
        <v>1956</v>
      </c>
      <c r="I12" s="693" t="s">
        <v>1957</v>
      </c>
      <c r="J12" s="695"/>
      <c r="K12" s="695"/>
      <c r="L12" s="695"/>
      <c r="M12" s="558" t="s">
        <v>1958</v>
      </c>
    </row>
    <row r="13" spans="1:17" x14ac:dyDescent="0.25">
      <c r="A13" s="513"/>
      <c r="C13" s="555" t="s">
        <v>2066</v>
      </c>
      <c r="D13" s="692">
        <v>1.7929999999999999</v>
      </c>
      <c r="E13" s="690"/>
      <c r="F13" s="690"/>
      <c r="G13" s="513"/>
      <c r="H13" s="543" t="s">
        <v>1959</v>
      </c>
      <c r="I13" s="692" t="s">
        <v>1960</v>
      </c>
      <c r="J13" s="691"/>
      <c r="K13" s="691"/>
      <c r="L13" s="691"/>
      <c r="M13" s="555">
        <v>2</v>
      </c>
      <c r="O13" s="689">
        <v>1.3069999999999999</v>
      </c>
      <c r="P13" s="690"/>
      <c r="Q13" s="690"/>
    </row>
    <row r="14" spans="1:17" x14ac:dyDescent="0.25">
      <c r="A14" s="513"/>
      <c r="B14" s="513">
        <v>1</v>
      </c>
      <c r="C14" s="557" t="s">
        <v>2048</v>
      </c>
      <c r="D14" s="689">
        <v>1.3069999999999999</v>
      </c>
      <c r="E14" s="690"/>
      <c r="F14" s="690"/>
      <c r="G14" s="513"/>
      <c r="H14" s="545" t="s">
        <v>1961</v>
      </c>
      <c r="I14" s="689" t="s">
        <v>1962</v>
      </c>
      <c r="J14" s="691"/>
      <c r="K14" s="691"/>
      <c r="L14" s="691"/>
      <c r="M14" s="557">
        <v>0.1</v>
      </c>
    </row>
    <row r="15" spans="1:17" x14ac:dyDescent="0.25">
      <c r="A15" s="513"/>
      <c r="B15" s="513">
        <v>2</v>
      </c>
      <c r="C15" s="555" t="s">
        <v>2049</v>
      </c>
      <c r="D15" s="692">
        <v>1.004</v>
      </c>
      <c r="E15" s="690"/>
      <c r="F15" s="690"/>
      <c r="G15" s="513"/>
      <c r="H15" s="543" t="s">
        <v>1963</v>
      </c>
      <c r="I15" s="692" t="s">
        <v>1964</v>
      </c>
      <c r="J15" s="691"/>
      <c r="K15" s="691"/>
      <c r="L15" s="691"/>
      <c r="M15" s="555">
        <v>0.3</v>
      </c>
    </row>
    <row r="16" spans="1:17" x14ac:dyDescent="0.25">
      <c r="A16" s="513"/>
      <c r="B16" s="513">
        <v>3</v>
      </c>
      <c r="C16" s="557" t="s">
        <v>2050</v>
      </c>
      <c r="D16" s="689">
        <v>0.80100000000000005</v>
      </c>
      <c r="E16" s="690"/>
      <c r="F16" s="690"/>
      <c r="G16" s="513"/>
      <c r="H16" s="545" t="s">
        <v>1965</v>
      </c>
      <c r="I16" s="689" t="s">
        <v>1962</v>
      </c>
      <c r="J16" s="691"/>
      <c r="K16" s="691"/>
      <c r="L16" s="691"/>
      <c r="M16" s="557">
        <v>0.1</v>
      </c>
    </row>
    <row r="17" spans="1:32" ht="28.5" x14ac:dyDescent="0.25">
      <c r="A17" s="513"/>
      <c r="B17" s="513">
        <v>4</v>
      </c>
      <c r="C17" s="555" t="s">
        <v>2051</v>
      </c>
      <c r="D17" s="692">
        <v>0.65800000000000003</v>
      </c>
      <c r="E17" s="690"/>
      <c r="F17" s="690"/>
      <c r="G17" s="513"/>
      <c r="H17" s="543" t="s">
        <v>1966</v>
      </c>
      <c r="I17" s="692" t="s">
        <v>1967</v>
      </c>
      <c r="J17" s="691"/>
      <c r="K17" s="691"/>
      <c r="L17" s="691"/>
      <c r="M17" s="555">
        <v>0.1</v>
      </c>
      <c r="O17" s="550"/>
      <c r="P17" s="551"/>
      <c r="Q17" s="551"/>
      <c r="R17" s="556"/>
      <c r="S17" s="556"/>
      <c r="U17" s="556"/>
      <c r="V17" s="551"/>
      <c r="W17" s="556"/>
      <c r="X17" s="556"/>
      <c r="Y17" s="556"/>
      <c r="Z17" s="556"/>
      <c r="AA17" s="556"/>
      <c r="AB17" s="556"/>
      <c r="AC17" s="551"/>
    </row>
    <row r="18" spans="1:32" x14ac:dyDescent="0.25">
      <c r="A18" s="513"/>
      <c r="B18" s="513">
        <v>5</v>
      </c>
      <c r="C18" s="557" t="s">
        <v>2052</v>
      </c>
      <c r="D18" s="689">
        <v>0.55400000000000005</v>
      </c>
      <c r="E18" s="690"/>
      <c r="F18" s="690"/>
      <c r="G18" s="513"/>
      <c r="H18" s="545" t="s">
        <v>1968</v>
      </c>
      <c r="I18" s="689" t="s">
        <v>1962</v>
      </c>
      <c r="J18" s="691"/>
      <c r="K18" s="691"/>
      <c r="L18" s="691"/>
      <c r="M18" s="557">
        <v>0.1</v>
      </c>
      <c r="O18" s="551"/>
      <c r="P18" s="551"/>
      <c r="Q18" s="551"/>
      <c r="R18" s="556"/>
      <c r="S18" s="556"/>
      <c r="T18" s="556"/>
      <c r="U18" s="556"/>
      <c r="V18" s="551"/>
      <c r="W18" s="556"/>
      <c r="X18" s="556"/>
      <c r="Y18" s="556"/>
      <c r="Z18" s="556"/>
      <c r="AA18" s="556"/>
      <c r="AB18" s="556"/>
      <c r="AC18" s="551"/>
    </row>
    <row r="19" spans="1:32" x14ac:dyDescent="0.25">
      <c r="A19" s="513"/>
      <c r="B19" s="513">
        <v>6</v>
      </c>
      <c r="C19" s="555" t="s">
        <v>2053</v>
      </c>
      <c r="D19" s="692">
        <v>0.47499999999999998</v>
      </c>
      <c r="E19" s="690"/>
      <c r="F19" s="690"/>
      <c r="G19" s="513"/>
      <c r="H19" s="543" t="s">
        <v>1969</v>
      </c>
      <c r="I19" s="692" t="s">
        <v>1962</v>
      </c>
      <c r="J19" s="691"/>
      <c r="K19" s="691"/>
      <c r="L19" s="691"/>
      <c r="M19" s="555">
        <v>0.1</v>
      </c>
      <c r="O19" s="551"/>
      <c r="P19" s="551"/>
      <c r="Q19" s="551"/>
      <c r="R19" s="556"/>
      <c r="S19" s="556"/>
      <c r="T19" s="556"/>
      <c r="U19" s="556"/>
      <c r="V19" s="551"/>
      <c r="W19" s="556"/>
      <c r="X19" s="556"/>
      <c r="Y19" s="556"/>
      <c r="Z19" s="556"/>
      <c r="AA19" s="556"/>
      <c r="AB19" s="556"/>
      <c r="AC19" s="551"/>
    </row>
    <row r="20" spans="1:32" x14ac:dyDescent="0.25">
      <c r="A20" s="513"/>
      <c r="B20" s="513">
        <v>7</v>
      </c>
      <c r="C20" s="557" t="s">
        <v>2067</v>
      </c>
      <c r="D20" s="689">
        <v>0.41299999999999998</v>
      </c>
      <c r="E20" s="690"/>
      <c r="F20" s="690"/>
      <c r="G20" s="513"/>
      <c r="H20" s="545" t="s">
        <v>1970</v>
      </c>
      <c r="I20" s="689" t="s">
        <v>1967</v>
      </c>
      <c r="J20" s="691"/>
      <c r="K20" s="691"/>
      <c r="L20" s="691"/>
      <c r="M20" s="557">
        <v>0.1</v>
      </c>
      <c r="O20" s="551"/>
      <c r="P20" s="551"/>
      <c r="Q20" s="551"/>
      <c r="R20" s="556"/>
      <c r="S20" s="556"/>
      <c r="T20" s="556"/>
      <c r="U20" s="556"/>
      <c r="V20" s="551"/>
      <c r="W20" s="556"/>
      <c r="X20" s="556"/>
      <c r="Y20" s="556"/>
      <c r="Z20" s="556"/>
      <c r="AA20" s="556"/>
      <c r="AB20" s="556"/>
      <c r="AC20" s="551"/>
    </row>
    <row r="21" spans="1:32" x14ac:dyDescent="0.25">
      <c r="A21" s="513"/>
      <c r="B21" s="513">
        <v>8</v>
      </c>
      <c r="C21" s="555" t="s">
        <v>2068</v>
      </c>
      <c r="D21" s="692">
        <v>0.36499999999999999</v>
      </c>
      <c r="E21" s="690"/>
      <c r="F21" s="690"/>
      <c r="G21" s="513"/>
      <c r="H21" s="547" t="s">
        <v>1971</v>
      </c>
      <c r="I21" s="548"/>
      <c r="J21" s="548"/>
      <c r="K21" s="548"/>
      <c r="L21" s="548"/>
      <c r="M21" s="548"/>
      <c r="O21" s="551"/>
      <c r="P21" s="551"/>
      <c r="Q21" s="551"/>
      <c r="R21" s="556"/>
      <c r="S21" s="556"/>
      <c r="T21" s="556"/>
      <c r="U21" s="556"/>
      <c r="V21" s="551"/>
      <c r="W21" s="556"/>
      <c r="X21" s="556"/>
      <c r="Y21" s="556"/>
      <c r="Z21" s="556"/>
      <c r="AA21" s="556"/>
      <c r="AB21" s="556"/>
      <c r="AC21" s="551"/>
    </row>
    <row r="22" spans="1:32" x14ac:dyDescent="0.25">
      <c r="A22" s="513"/>
      <c r="B22" s="513">
        <v>9</v>
      </c>
      <c r="C22" s="557" t="s">
        <v>2069</v>
      </c>
      <c r="D22" s="689">
        <v>0.32600000000000001</v>
      </c>
      <c r="E22" s="690"/>
      <c r="F22" s="690"/>
      <c r="G22" s="513"/>
      <c r="H22" s="513"/>
      <c r="I22" s="513"/>
      <c r="J22" s="513"/>
      <c r="K22" s="513"/>
      <c r="L22" s="513"/>
      <c r="M22" s="513"/>
      <c r="O22" s="551"/>
      <c r="P22" s="551"/>
      <c r="Q22" s="551"/>
      <c r="R22" s="556"/>
      <c r="S22" s="556"/>
      <c r="T22" s="556"/>
      <c r="U22" s="551"/>
      <c r="V22" s="551"/>
      <c r="W22" s="556"/>
      <c r="X22" s="551"/>
      <c r="Y22" s="556"/>
      <c r="Z22" s="551"/>
      <c r="AA22" s="556"/>
      <c r="AB22" s="556"/>
      <c r="AC22" s="551"/>
    </row>
    <row r="23" spans="1:32" x14ac:dyDescent="0.25">
      <c r="A23" s="513"/>
      <c r="B23" s="513">
        <v>10</v>
      </c>
      <c r="C23" s="549" t="s">
        <v>1972</v>
      </c>
      <c r="D23" s="513"/>
      <c r="E23" s="513"/>
      <c r="F23" s="513"/>
      <c r="G23" s="513"/>
      <c r="H23" s="513"/>
      <c r="I23" s="513"/>
      <c r="J23" s="513"/>
      <c r="K23" s="513"/>
      <c r="L23" s="513"/>
      <c r="M23" s="513"/>
      <c r="O23" s="552"/>
      <c r="P23" s="551"/>
      <c r="Q23" s="551"/>
      <c r="R23" s="556"/>
      <c r="S23" s="556"/>
      <c r="T23" s="556"/>
      <c r="U23" s="551"/>
      <c r="V23" s="551"/>
      <c r="W23" s="556"/>
      <c r="X23" s="552"/>
      <c r="Y23" s="556"/>
      <c r="Z23" s="551"/>
      <c r="AA23" s="556"/>
      <c r="AB23" s="556"/>
      <c r="AC23" s="551"/>
    </row>
    <row r="24" spans="1:32" x14ac:dyDescent="0.25">
      <c r="A24" s="513"/>
      <c r="B24" s="513"/>
      <c r="C24" s="560"/>
      <c r="D24" s="560"/>
      <c r="E24" s="560"/>
      <c r="F24" s="560"/>
      <c r="G24" s="560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</row>
    <row r="25" spans="1:32" x14ac:dyDescent="0.25">
      <c r="A25" s="513"/>
      <c r="B25" s="513"/>
      <c r="C25" s="562"/>
      <c r="D25" s="560"/>
      <c r="E25" s="560"/>
      <c r="F25" s="560"/>
      <c r="G25" s="563"/>
      <c r="H25" s="687"/>
      <c r="I25" s="687"/>
      <c r="J25" s="687"/>
      <c r="K25" s="687"/>
      <c r="L25" s="687"/>
      <c r="M25" s="687"/>
      <c r="N25" s="687"/>
      <c r="O25" s="687"/>
      <c r="P25" s="687"/>
      <c r="Q25" s="687"/>
      <c r="R25" s="687"/>
      <c r="S25" s="687"/>
      <c r="T25" s="687"/>
      <c r="U25" s="687"/>
      <c r="V25" s="687"/>
      <c r="W25" s="687"/>
      <c r="X25" s="687"/>
      <c r="Y25" s="687"/>
      <c r="Z25" s="687"/>
      <c r="AA25" s="687"/>
      <c r="AB25" s="687"/>
      <c r="AC25" s="687"/>
    </row>
    <row r="26" spans="1:32" x14ac:dyDescent="0.25">
      <c r="A26" s="513"/>
      <c r="B26" s="513"/>
      <c r="C26" s="560"/>
      <c r="D26" s="560"/>
      <c r="E26" s="560"/>
      <c r="F26" s="560"/>
      <c r="G26" s="564"/>
      <c r="H26" s="688"/>
      <c r="I26" s="688"/>
      <c r="J26" s="688"/>
      <c r="K26" s="688"/>
      <c r="L26" s="688"/>
      <c r="M26" s="688"/>
      <c r="N26" s="688"/>
      <c r="O26" s="688"/>
      <c r="P26" s="688"/>
      <c r="Q26" s="688"/>
      <c r="R26" s="688"/>
      <c r="S26" s="688"/>
      <c r="T26" s="688"/>
      <c r="U26" s="688"/>
      <c r="V26" s="688"/>
      <c r="W26" s="688"/>
      <c r="X26" s="688"/>
      <c r="Y26" s="688"/>
      <c r="Z26" s="688"/>
      <c r="AA26" s="688"/>
      <c r="AB26" s="688"/>
      <c r="AC26" s="688"/>
    </row>
    <row r="27" spans="1:32" x14ac:dyDescent="0.25">
      <c r="A27" s="513"/>
      <c r="B27" s="513"/>
      <c r="C27" s="560"/>
      <c r="D27" s="560"/>
      <c r="E27" s="560"/>
      <c r="F27" s="560"/>
      <c r="G27" s="564"/>
      <c r="H27" s="564"/>
      <c r="I27" s="565"/>
      <c r="J27" s="565"/>
      <c r="K27" s="565"/>
      <c r="L27" s="565"/>
      <c r="M27" s="565"/>
      <c r="P27" s="565"/>
      <c r="Q27" s="565"/>
      <c r="R27" s="565"/>
      <c r="S27" s="565"/>
      <c r="T27" s="565"/>
      <c r="U27" s="565"/>
      <c r="V27" s="566"/>
      <c r="W27" s="566"/>
      <c r="X27" s="565"/>
      <c r="Y27" s="565"/>
      <c r="Z27" s="565"/>
      <c r="AA27" s="565"/>
      <c r="AB27" s="565"/>
      <c r="AC27" s="565"/>
      <c r="AD27" s="565"/>
      <c r="AE27" s="565"/>
    </row>
    <row r="28" spans="1:32" x14ac:dyDescent="0.25">
      <c r="A28" s="513"/>
      <c r="B28" s="513"/>
      <c r="C28" s="560"/>
      <c r="D28" s="560"/>
      <c r="E28" s="560"/>
      <c r="F28" s="560"/>
      <c r="G28" s="564"/>
      <c r="H28" s="561"/>
      <c r="I28" s="567"/>
      <c r="J28" s="567"/>
      <c r="K28" s="565"/>
      <c r="L28" s="567"/>
      <c r="M28" s="567"/>
      <c r="P28" s="567"/>
      <c r="Q28" s="565"/>
      <c r="R28" s="567"/>
      <c r="S28" s="567"/>
      <c r="T28" s="565"/>
      <c r="U28" s="567"/>
      <c r="V28" s="567"/>
      <c r="W28" s="567"/>
      <c r="X28" s="567"/>
      <c r="Y28" s="565"/>
      <c r="Z28" s="567"/>
      <c r="AA28" s="567"/>
      <c r="AB28" s="567"/>
      <c r="AC28" s="567"/>
      <c r="AD28" s="565"/>
      <c r="AE28" s="567"/>
    </row>
    <row r="29" spans="1:32" x14ac:dyDescent="0.25">
      <c r="A29" s="513"/>
      <c r="B29" t="s">
        <v>2079</v>
      </c>
      <c r="C29" s="560"/>
      <c r="D29" s="560"/>
      <c r="E29" s="560"/>
      <c r="F29" s="560"/>
      <c r="G29" s="560"/>
      <c r="H29" s="560"/>
      <c r="I29" s="560"/>
      <c r="J29" s="560"/>
      <c r="K29" s="560"/>
      <c r="L29" s="560"/>
      <c r="M29" s="560"/>
      <c r="P29" s="568"/>
      <c r="Q29" s="569"/>
      <c r="R29" s="570"/>
      <c r="S29" s="570"/>
      <c r="T29" s="564"/>
      <c r="U29" s="564"/>
      <c r="V29" s="564"/>
      <c r="W29" s="570"/>
      <c r="X29" s="570"/>
      <c r="Y29" s="564"/>
      <c r="Z29" s="569"/>
      <c r="AA29" s="564"/>
      <c r="AB29" s="570"/>
      <c r="AC29" s="564"/>
      <c r="AD29" s="564"/>
      <c r="AE29" s="570"/>
    </row>
    <row r="30" spans="1:32" x14ac:dyDescent="0.25">
      <c r="B30" t="b">
        <f>Tabelle2!E16</f>
        <v>0</v>
      </c>
      <c r="Q30" s="551" t="s">
        <v>1994</v>
      </c>
      <c r="R30" s="551"/>
      <c r="S30" s="551"/>
      <c r="T30" s="556"/>
      <c r="U30" s="556"/>
      <c r="V30" s="556"/>
      <c r="W30" s="551"/>
      <c r="X30" s="551"/>
      <c r="Y30" s="556"/>
      <c r="Z30" s="551"/>
      <c r="AA30" s="556"/>
      <c r="AB30" s="551"/>
      <c r="AC30" s="556"/>
      <c r="AD30" s="556"/>
      <c r="AE30" s="551"/>
    </row>
    <row r="31" spans="1:32" ht="30" x14ac:dyDescent="0.25">
      <c r="C31" s="554" t="s">
        <v>2086</v>
      </c>
      <c r="P31" s="513">
        <v>1</v>
      </c>
      <c r="Q31" s="551">
        <f>VLOOKUP(P31,B13:F22,3,0)</f>
        <v>1.3069999999999999</v>
      </c>
      <c r="R31" s="551" t="str">
        <f>VLOOKUP(P31,B13:F22,2,0)</f>
        <v>10 [°C]</v>
      </c>
      <c r="S31" s="551" t="s">
        <v>2077</v>
      </c>
      <c r="T31" s="556"/>
      <c r="U31" s="556"/>
      <c r="V31" s="592" t="s">
        <v>2082</v>
      </c>
      <c r="X31" s="551"/>
      <c r="Y31" s="551"/>
      <c r="Z31" s="556"/>
      <c r="AA31" s="551"/>
      <c r="AB31" s="556"/>
      <c r="AC31" s="551"/>
      <c r="AD31" s="556"/>
      <c r="AE31" s="556"/>
      <c r="AF31" s="551"/>
    </row>
    <row r="32" spans="1:32" ht="15.75" thickBot="1" x14ac:dyDescent="0.3">
      <c r="P32" s="55" t="s">
        <v>1927</v>
      </c>
      <c r="Q32" s="23">
        <f>IF(S32=2,PDL!F25,Schachtselector!G97)</f>
        <v>36</v>
      </c>
      <c r="R32" t="s">
        <v>1995</v>
      </c>
      <c r="S32">
        <v>2</v>
      </c>
      <c r="T32" t="b">
        <f>IF(S32=2,TRUE,FALSE)</f>
        <v>1</v>
      </c>
      <c r="U32" s="556"/>
      <c r="V32" s="592" t="s">
        <v>2078</v>
      </c>
      <c r="X32">
        <v>1</v>
      </c>
      <c r="Y32" s="571" t="s">
        <v>2056</v>
      </c>
      <c r="Z32" s="552"/>
      <c r="AA32" s="551"/>
      <c r="AB32" s="551"/>
      <c r="AC32" s="556">
        <v>0</v>
      </c>
    </row>
    <row r="33" spans="1:33" ht="15.75" thickBot="1" x14ac:dyDescent="0.3">
      <c r="A33">
        <v>1</v>
      </c>
      <c r="B33" s="572" t="s">
        <v>2057</v>
      </c>
      <c r="E33" t="s">
        <v>1996</v>
      </c>
      <c r="H33" t="s">
        <v>1997</v>
      </c>
      <c r="I33" t="s">
        <v>1998</v>
      </c>
      <c r="J33" s="548"/>
      <c r="K33" s="9" t="s">
        <v>1999</v>
      </c>
      <c r="M33" t="s">
        <v>2000</v>
      </c>
      <c r="N33" t="s">
        <v>2084</v>
      </c>
      <c r="O33" t="s">
        <v>2083</v>
      </c>
      <c r="Q33" t="s">
        <v>2001</v>
      </c>
      <c r="R33" t="s">
        <v>2002</v>
      </c>
      <c r="S33" t="s">
        <v>2003</v>
      </c>
      <c r="T33" t="s">
        <v>2004</v>
      </c>
      <c r="U33" t="s">
        <v>1942</v>
      </c>
      <c r="V33" s="556" t="s">
        <v>2005</v>
      </c>
      <c r="X33">
        <v>2</v>
      </c>
      <c r="Y33" t="str">
        <f>"DN "&amp;Z33&amp;" / DE "&amp;AA33&amp;"; PN "&amp;AB33&amp;" - DI "&amp;AC33</f>
        <v>DN 32 / DE 40; PN 10 - DI 32.6</v>
      </c>
      <c r="Z33" s="573">
        <v>32</v>
      </c>
      <c r="AA33" s="551">
        <v>40</v>
      </c>
      <c r="AB33" s="574">
        <v>10</v>
      </c>
      <c r="AC33" s="575">
        <v>32.6</v>
      </c>
      <c r="AD33" s="592" t="s">
        <v>2059</v>
      </c>
      <c r="AE33" s="556" t="s">
        <v>2060</v>
      </c>
      <c r="AF33" s="551" t="s">
        <v>2061</v>
      </c>
    </row>
    <row r="34" spans="1:33" ht="15.75" thickBot="1" x14ac:dyDescent="0.3">
      <c r="A34">
        <v>2</v>
      </c>
      <c r="B34" s="572" t="s">
        <v>1985</v>
      </c>
      <c r="E34">
        <v>2</v>
      </c>
      <c r="F34" t="str">
        <f>IF(VLOOKUP(E34,$A$33:$C$53,2,0)=$B$33,"",(VLOOKUP(E34,$A$33:$C$53,2,0)))</f>
        <v xml:space="preserve">Leitungslänge: </v>
      </c>
      <c r="G34">
        <f>VLOOKUP(E34,$A$33:$C$53,3,0)</f>
        <v>0</v>
      </c>
      <c r="H34">
        <f>IF(E34=2,PDL!F6,'Berechnung PDL'!G34)</f>
        <v>7</v>
      </c>
      <c r="I34">
        <v>19</v>
      </c>
      <c r="J34" t="str">
        <f t="shared" ref="J34:J50" si="0">IF(VLOOKUP(I34,$X$32:$AA$54,2,0)=$Y$32,"",(VLOOKUP(I34,$X$32:$AA$54,2,0)))</f>
        <v>DN 150 / DE 160; PN 6 - DI 141.8</v>
      </c>
      <c r="K34" s="17">
        <f t="shared" ref="K34:K50" si="1">VLOOKUP(I34,$X$32:$AC$54,6,0)/1000</f>
        <v>0.14180000000000001</v>
      </c>
      <c r="L34">
        <v>38</v>
      </c>
      <c r="M34">
        <f>VLOOKUP(L34,$A$56:$E$96,5,0)</f>
        <v>7.0000000000000007E-2</v>
      </c>
      <c r="N34" t="b">
        <f>IF(J34="",FALSE,TRUE)</f>
        <v>1</v>
      </c>
      <c r="O34" t="str">
        <f t="shared" ref="O34:O50" si="2">IF(VLOOKUP(L34,$A$56:$E$96,2,0)=0,"",(VLOOKUP(L34,$A$56:$E$96,2,0)))</f>
        <v>Stahl, längsgeschweißt - neu, Walzhaut</v>
      </c>
      <c r="P34" t="b">
        <f>IF(AND(Q34&lt;0.7,$B$30=TRUE),TRUE,FALSE)</f>
        <v>0</v>
      </c>
      <c r="Q34">
        <f t="shared" ref="Q34:Q50" si="3">$Q$32/(1000*(K34^2*3.14)/4)</f>
        <v>2.2807641730772081</v>
      </c>
      <c r="R34">
        <f t="shared" ref="R34:R50" si="4">(Q34*K34)/($Q$31*10^-6)</f>
        <v>247446.33492145993</v>
      </c>
      <c r="S34" t="str">
        <f>IF(R34&lt;2320,64/R34,"nicht laminar")</f>
        <v>nicht laminar</v>
      </c>
      <c r="T34">
        <f t="shared" ref="T34:T50" si="5">0.31/(LOG(0.135*((M34/K34)+(6.5/R34))))^2</f>
        <v>0.22406994350427586</v>
      </c>
      <c r="U34">
        <f>IF(ISNUMBER(S34),S34, T34)</f>
        <v>0.22406994350427586</v>
      </c>
      <c r="V34" s="591">
        <f t="shared" ref="V34:V50" si="6">IFERROR(U34*(H34*Q34^2)/(K34*2*9.81),0)</f>
        <v>2.9326968684449164</v>
      </c>
      <c r="W34">
        <f>IF(E34=2,V34,V34*PDL!F6)</f>
        <v>2.9326968684449164</v>
      </c>
      <c r="X34">
        <v>3</v>
      </c>
      <c r="Y34" t="str">
        <f t="shared" ref="Y34:Y54" si="7">"DN "&amp;Z34&amp;" / DE "&amp;AA34&amp;"; PN "&amp;AB34&amp;" - DI "&amp;AC34</f>
        <v>DN 32 / DE 40; PN 6 - DI 35.4</v>
      </c>
      <c r="Z34" s="573">
        <v>32</v>
      </c>
      <c r="AA34" s="551">
        <v>40</v>
      </c>
      <c r="AB34" s="576">
        <v>6</v>
      </c>
      <c r="AC34" s="577">
        <v>35.4</v>
      </c>
      <c r="AD34" s="556">
        <f t="shared" ref="AD34:AD51" si="8">Q34</f>
        <v>2.2807641730772081</v>
      </c>
      <c r="AE34" s="556" t="b">
        <f>IF(AD34&lt;0.7,TRUE,FALSE)</f>
        <v>0</v>
      </c>
      <c r="AF34" s="551" t="b">
        <f>IF(AD34&gt;2.3,TRUE,FALSE)</f>
        <v>0</v>
      </c>
      <c r="AG34" t="b">
        <f>IF(OR(AE34=TRUE,AF34=TRUE),TRUE,FALSE)</f>
        <v>0</v>
      </c>
    </row>
    <row r="35" spans="1:33" x14ac:dyDescent="0.25">
      <c r="A35">
        <v>3</v>
      </c>
      <c r="B35" s="578" t="s">
        <v>1984</v>
      </c>
      <c r="C35" s="579">
        <v>1.5</v>
      </c>
      <c r="E35">
        <v>3</v>
      </c>
      <c r="F35" t="str">
        <f t="shared" ref="F35:F49" si="9">IF(VLOOKUP(E35,$A$33:$C$53,2,0)=$B$33,"",(VLOOKUP(E35,$A$33:$C$53,2,0)))</f>
        <v>Bogen 90° normal</v>
      </c>
      <c r="G35">
        <f>VLOOKUP(E35,$A$33:$C$53,3,0)</f>
        <v>1.5</v>
      </c>
      <c r="H35">
        <f>IF(E35=2,PDL!F7,'Berechnung PDL'!G35)</f>
        <v>1.5</v>
      </c>
      <c r="I35" s="580">
        <v>1</v>
      </c>
      <c r="J35" t="str">
        <f t="shared" si="0"/>
        <v/>
      </c>
      <c r="K35" s="17">
        <f t="shared" si="1"/>
        <v>0</v>
      </c>
      <c r="L35">
        <v>3</v>
      </c>
      <c r="M35">
        <f t="shared" ref="M35:M50" si="10">VLOOKUP(L35,$A$56:$E$95,5,0)</f>
        <v>0.03</v>
      </c>
      <c r="N35" t="b">
        <f t="shared" ref="N35:N50" si="11">IF(J35="",FALSE,TRUE)</f>
        <v>0</v>
      </c>
      <c r="O35" t="str">
        <f t="shared" si="2"/>
        <v>Kunststoff, gezogen/gepreßt - gebraucht</v>
      </c>
      <c r="P35" t="e">
        <f t="shared" ref="P35:P50" si="12">IF(AND(Q35&lt;0.7,$B$30=TRUE),TRUE,FALSE)</f>
        <v>#DIV/0!</v>
      </c>
      <c r="Q35" t="e">
        <f t="shared" si="3"/>
        <v>#DIV/0!</v>
      </c>
      <c r="R35" t="e">
        <f t="shared" si="4"/>
        <v>#DIV/0!</v>
      </c>
      <c r="S35" t="e">
        <f t="shared" ref="S35:S50" si="13">IF(R35&lt;2320,64/R35,"nicht laminar")</f>
        <v>#DIV/0!</v>
      </c>
      <c r="T35" t="e">
        <f t="shared" si="5"/>
        <v>#DIV/0!</v>
      </c>
      <c r="U35" t="e">
        <f t="shared" ref="U35:U50" si="14">IF(ISNUMBER(S35),S35, T35)</f>
        <v>#DIV/0!</v>
      </c>
      <c r="V35">
        <f t="shared" si="6"/>
        <v>0</v>
      </c>
      <c r="W35">
        <f>IF(E35=2,V35,V35*PDL!F7)</f>
        <v>0</v>
      </c>
      <c r="X35">
        <v>4</v>
      </c>
      <c r="Y35" t="str">
        <f t="shared" si="7"/>
        <v>DN 40 / DE 50; PN 10 - DI 40.8</v>
      </c>
      <c r="Z35" s="573">
        <v>40</v>
      </c>
      <c r="AA35" s="551">
        <v>50</v>
      </c>
      <c r="AB35" s="581">
        <v>10</v>
      </c>
      <c r="AC35" s="582">
        <v>40.799999999999997</v>
      </c>
      <c r="AD35" s="590" t="e">
        <f t="shared" si="8"/>
        <v>#DIV/0!</v>
      </c>
      <c r="AE35" s="590" t="e">
        <f>IF(AD35&lt;0.7,TRUE,FALSE)</f>
        <v>#DIV/0!</v>
      </c>
      <c r="AF35" s="551" t="e">
        <f t="shared" ref="AF35:AF51" si="15">IF(AD35&gt;2.3,TRUE,FALSE)</f>
        <v>#DIV/0!</v>
      </c>
      <c r="AG35" t="e">
        <f t="shared" ref="AG35:AG51" si="16">IF(OR(AE35=TRUE,AF35=TRUE),TRUE,FALSE)</f>
        <v>#DIV/0!</v>
      </c>
    </row>
    <row r="36" spans="1:33" x14ac:dyDescent="0.25">
      <c r="A36">
        <v>4</v>
      </c>
      <c r="B36" s="583" t="s">
        <v>1983</v>
      </c>
      <c r="C36" s="584">
        <v>4</v>
      </c>
      <c r="E36">
        <v>5</v>
      </c>
      <c r="F36" t="str">
        <f t="shared" si="9"/>
        <v>Gerade Rückschlagklappe</v>
      </c>
      <c r="G36">
        <f t="shared" ref="G36:G50" si="17">VLOOKUP(E36,$A$33:$C$53,3,0)</f>
        <v>6</v>
      </c>
      <c r="H36">
        <f>IF(E36=2,PDL!F8,'Berechnung PDL'!G36)</f>
        <v>6</v>
      </c>
      <c r="I36" s="580">
        <v>1</v>
      </c>
      <c r="J36" t="str">
        <f t="shared" si="0"/>
        <v/>
      </c>
      <c r="K36" s="17">
        <f t="shared" si="1"/>
        <v>0</v>
      </c>
      <c r="L36">
        <v>1</v>
      </c>
      <c r="M36" t="str">
        <f t="shared" si="10"/>
        <v>k-wert</v>
      </c>
      <c r="N36" t="b">
        <f t="shared" si="11"/>
        <v>0</v>
      </c>
      <c r="O36" t="str">
        <f t="shared" si="2"/>
        <v/>
      </c>
      <c r="P36" t="e">
        <f t="shared" si="12"/>
        <v>#DIV/0!</v>
      </c>
      <c r="Q36" t="e">
        <f t="shared" si="3"/>
        <v>#DIV/0!</v>
      </c>
      <c r="R36" t="e">
        <f t="shared" si="4"/>
        <v>#DIV/0!</v>
      </c>
      <c r="S36" t="e">
        <f t="shared" si="13"/>
        <v>#DIV/0!</v>
      </c>
      <c r="T36" t="e">
        <f t="shared" si="5"/>
        <v>#VALUE!</v>
      </c>
      <c r="U36" t="e">
        <f t="shared" si="14"/>
        <v>#VALUE!</v>
      </c>
      <c r="V36">
        <f t="shared" si="6"/>
        <v>0</v>
      </c>
      <c r="W36">
        <f>IF(E36=2,V36,V36*PDL!F8)</f>
        <v>0</v>
      </c>
      <c r="X36">
        <v>5</v>
      </c>
      <c r="Y36" t="str">
        <f t="shared" si="7"/>
        <v>DN 40 / DE 50; PN 6 - DI 44</v>
      </c>
      <c r="Z36" s="573">
        <v>40</v>
      </c>
      <c r="AA36" s="551">
        <v>50</v>
      </c>
      <c r="AB36" s="576">
        <v>6</v>
      </c>
      <c r="AC36" s="576">
        <v>44</v>
      </c>
      <c r="AD36" s="590" t="e">
        <f t="shared" si="8"/>
        <v>#DIV/0!</v>
      </c>
      <c r="AE36" s="590" t="e">
        <f t="shared" ref="AE36:AE51" si="18">IF(AD36&lt;0.7,TRUE,FALSE)</f>
        <v>#DIV/0!</v>
      </c>
      <c r="AF36" s="551" t="e">
        <f t="shared" si="15"/>
        <v>#DIV/0!</v>
      </c>
      <c r="AG36" t="e">
        <f t="shared" si="16"/>
        <v>#DIV/0!</v>
      </c>
    </row>
    <row r="37" spans="1:33" x14ac:dyDescent="0.25">
      <c r="A37">
        <v>5</v>
      </c>
      <c r="B37" s="583" t="s">
        <v>1977</v>
      </c>
      <c r="C37" s="584">
        <v>6</v>
      </c>
      <c r="E37">
        <v>7</v>
      </c>
      <c r="F37" t="str">
        <f t="shared" si="9"/>
        <v>Schieber offen</v>
      </c>
      <c r="G37">
        <f t="shared" si="17"/>
        <v>0.2</v>
      </c>
      <c r="H37">
        <f>IF(E37=2,PDL!F9,'Berechnung PDL'!G37)</f>
        <v>0.2</v>
      </c>
      <c r="I37" s="580">
        <v>1</v>
      </c>
      <c r="J37" t="str">
        <f t="shared" si="0"/>
        <v/>
      </c>
      <c r="K37" s="17">
        <f t="shared" si="1"/>
        <v>0</v>
      </c>
      <c r="L37">
        <v>1</v>
      </c>
      <c r="M37" t="str">
        <f t="shared" si="10"/>
        <v>k-wert</v>
      </c>
      <c r="N37" t="b">
        <f t="shared" si="11"/>
        <v>0</v>
      </c>
      <c r="O37" t="str">
        <f t="shared" si="2"/>
        <v/>
      </c>
      <c r="P37" t="e">
        <f t="shared" si="12"/>
        <v>#DIV/0!</v>
      </c>
      <c r="Q37" t="e">
        <f t="shared" si="3"/>
        <v>#DIV/0!</v>
      </c>
      <c r="R37" t="e">
        <f t="shared" si="4"/>
        <v>#DIV/0!</v>
      </c>
      <c r="S37" t="e">
        <f t="shared" si="13"/>
        <v>#DIV/0!</v>
      </c>
      <c r="T37" t="e">
        <f t="shared" si="5"/>
        <v>#VALUE!</v>
      </c>
      <c r="U37" t="e">
        <f t="shared" si="14"/>
        <v>#VALUE!</v>
      </c>
      <c r="V37">
        <f t="shared" si="6"/>
        <v>0</v>
      </c>
      <c r="W37">
        <f>IF(E37=2,V37,V37*PDL!F9)</f>
        <v>0</v>
      </c>
      <c r="X37">
        <v>6</v>
      </c>
      <c r="Y37" t="str">
        <f t="shared" si="7"/>
        <v>DN 50 / DE 63; PN 10 - DI 51.4</v>
      </c>
      <c r="Z37" s="573">
        <v>50</v>
      </c>
      <c r="AA37" s="551">
        <v>63</v>
      </c>
      <c r="AB37" s="581">
        <v>10</v>
      </c>
      <c r="AC37" s="582">
        <v>51.4</v>
      </c>
      <c r="AD37" s="590" t="e">
        <f t="shared" si="8"/>
        <v>#DIV/0!</v>
      </c>
      <c r="AE37" s="590" t="e">
        <f t="shared" si="18"/>
        <v>#DIV/0!</v>
      </c>
      <c r="AF37" s="551" t="e">
        <f t="shared" si="15"/>
        <v>#DIV/0!</v>
      </c>
      <c r="AG37" t="e">
        <f t="shared" si="16"/>
        <v>#DIV/0!</v>
      </c>
    </row>
    <row r="38" spans="1:33" x14ac:dyDescent="0.25">
      <c r="A38">
        <v>6</v>
      </c>
      <c r="B38" s="583" t="s">
        <v>1978</v>
      </c>
      <c r="C38" s="584">
        <v>1.8</v>
      </c>
      <c r="E38">
        <v>1</v>
      </c>
      <c r="F38" t="str">
        <f t="shared" si="9"/>
        <v/>
      </c>
      <c r="G38">
        <f t="shared" si="17"/>
        <v>0</v>
      </c>
      <c r="H38">
        <f>IF(E38=2,PDL!F10,'Berechnung PDL'!G38)</f>
        <v>0</v>
      </c>
      <c r="I38">
        <v>1</v>
      </c>
      <c r="J38" t="str">
        <f t="shared" si="0"/>
        <v/>
      </c>
      <c r="K38" s="17">
        <f t="shared" si="1"/>
        <v>0</v>
      </c>
      <c r="L38">
        <v>1</v>
      </c>
      <c r="M38" t="str">
        <f t="shared" si="10"/>
        <v>k-wert</v>
      </c>
      <c r="N38" t="b">
        <f t="shared" si="11"/>
        <v>0</v>
      </c>
      <c r="O38" t="str">
        <f t="shared" si="2"/>
        <v/>
      </c>
      <c r="P38" t="e">
        <f t="shared" si="12"/>
        <v>#DIV/0!</v>
      </c>
      <c r="Q38" t="e">
        <f t="shared" si="3"/>
        <v>#DIV/0!</v>
      </c>
      <c r="R38" t="e">
        <f t="shared" si="4"/>
        <v>#DIV/0!</v>
      </c>
      <c r="S38" t="e">
        <f t="shared" si="13"/>
        <v>#DIV/0!</v>
      </c>
      <c r="T38" t="e">
        <f t="shared" si="5"/>
        <v>#VALUE!</v>
      </c>
      <c r="U38" t="e">
        <f t="shared" si="14"/>
        <v>#VALUE!</v>
      </c>
      <c r="V38">
        <f t="shared" si="6"/>
        <v>0</v>
      </c>
      <c r="W38">
        <f>IF(E38=2,V38,V38*PDL!F10)</f>
        <v>0</v>
      </c>
      <c r="X38">
        <v>7</v>
      </c>
      <c r="Y38" t="str">
        <f t="shared" si="7"/>
        <v>DN 50 / DE 63; PN 6 - DI 55.4</v>
      </c>
      <c r="Z38" s="573">
        <v>50</v>
      </c>
      <c r="AA38" s="551">
        <v>63</v>
      </c>
      <c r="AB38" s="576">
        <v>6</v>
      </c>
      <c r="AC38" s="577">
        <v>55.4</v>
      </c>
      <c r="AD38" s="590" t="e">
        <f t="shared" si="8"/>
        <v>#DIV/0!</v>
      </c>
      <c r="AE38" s="590" t="e">
        <f t="shared" si="18"/>
        <v>#DIV/0!</v>
      </c>
      <c r="AF38" s="551" t="e">
        <f t="shared" si="15"/>
        <v>#DIV/0!</v>
      </c>
      <c r="AG38" t="e">
        <f t="shared" si="16"/>
        <v>#DIV/0!</v>
      </c>
    </row>
    <row r="39" spans="1:33" x14ac:dyDescent="0.25">
      <c r="A39">
        <v>7</v>
      </c>
      <c r="B39" s="583" t="s">
        <v>1975</v>
      </c>
      <c r="C39" s="584">
        <v>0.2</v>
      </c>
      <c r="E39">
        <v>1</v>
      </c>
      <c r="F39" t="str">
        <f t="shared" si="9"/>
        <v/>
      </c>
      <c r="G39">
        <f t="shared" si="17"/>
        <v>0</v>
      </c>
      <c r="H39">
        <f>IF(E39=2,PDL!F11,'Berechnung PDL'!G39)</f>
        <v>0</v>
      </c>
      <c r="I39" s="580">
        <v>1</v>
      </c>
      <c r="J39" t="str">
        <f t="shared" si="0"/>
        <v/>
      </c>
      <c r="K39" s="17">
        <f t="shared" si="1"/>
        <v>0</v>
      </c>
      <c r="L39">
        <v>1</v>
      </c>
      <c r="M39" t="str">
        <f t="shared" si="10"/>
        <v>k-wert</v>
      </c>
      <c r="N39" t="b">
        <f t="shared" si="11"/>
        <v>0</v>
      </c>
      <c r="O39" t="str">
        <f t="shared" si="2"/>
        <v/>
      </c>
      <c r="P39" t="e">
        <f t="shared" si="12"/>
        <v>#DIV/0!</v>
      </c>
      <c r="Q39" t="e">
        <f t="shared" si="3"/>
        <v>#DIV/0!</v>
      </c>
      <c r="R39" t="e">
        <f t="shared" si="4"/>
        <v>#DIV/0!</v>
      </c>
      <c r="S39" t="e">
        <f t="shared" si="13"/>
        <v>#DIV/0!</v>
      </c>
      <c r="T39" t="e">
        <f t="shared" si="5"/>
        <v>#VALUE!</v>
      </c>
      <c r="U39" t="e">
        <f t="shared" si="14"/>
        <v>#VALUE!</v>
      </c>
      <c r="V39">
        <f t="shared" si="6"/>
        <v>0</v>
      </c>
      <c r="W39">
        <f>IF(E39=2,V39,V39*PDL!F11)</f>
        <v>0</v>
      </c>
      <c r="X39">
        <v>8</v>
      </c>
      <c r="Y39" t="str">
        <f t="shared" si="7"/>
        <v>DN 65 / DE 75; PN 10 - DI 61.2</v>
      </c>
      <c r="Z39" s="573">
        <v>65</v>
      </c>
      <c r="AA39" s="551">
        <v>75</v>
      </c>
      <c r="AB39" s="581">
        <v>10</v>
      </c>
      <c r="AC39" s="582">
        <v>61.2</v>
      </c>
      <c r="AD39" s="590" t="e">
        <f t="shared" si="8"/>
        <v>#DIV/0!</v>
      </c>
      <c r="AE39" s="590" t="e">
        <f t="shared" si="18"/>
        <v>#DIV/0!</v>
      </c>
      <c r="AF39" s="551" t="e">
        <f t="shared" si="15"/>
        <v>#DIV/0!</v>
      </c>
      <c r="AG39" t="e">
        <f t="shared" si="16"/>
        <v>#DIV/0!</v>
      </c>
    </row>
    <row r="40" spans="1:33" x14ac:dyDescent="0.25">
      <c r="A40">
        <v>8</v>
      </c>
      <c r="B40" s="583" t="s">
        <v>1974</v>
      </c>
      <c r="C40" s="585">
        <v>0.2</v>
      </c>
      <c r="E40">
        <v>1</v>
      </c>
      <c r="F40" t="str">
        <f t="shared" si="9"/>
        <v/>
      </c>
      <c r="G40">
        <f t="shared" si="17"/>
        <v>0</v>
      </c>
      <c r="H40">
        <f>IF(E40=2,PDL!F12,'Berechnung PDL'!G40)</f>
        <v>0</v>
      </c>
      <c r="I40">
        <v>1</v>
      </c>
      <c r="J40" t="str">
        <f t="shared" si="0"/>
        <v/>
      </c>
      <c r="K40" s="17">
        <f t="shared" si="1"/>
        <v>0</v>
      </c>
      <c r="L40">
        <v>1</v>
      </c>
      <c r="M40" t="str">
        <f t="shared" si="10"/>
        <v>k-wert</v>
      </c>
      <c r="N40" t="b">
        <f t="shared" si="11"/>
        <v>0</v>
      </c>
      <c r="O40" t="str">
        <f t="shared" si="2"/>
        <v/>
      </c>
      <c r="P40" t="e">
        <f t="shared" si="12"/>
        <v>#DIV/0!</v>
      </c>
      <c r="Q40" t="e">
        <f t="shared" si="3"/>
        <v>#DIV/0!</v>
      </c>
      <c r="R40" t="e">
        <f t="shared" si="4"/>
        <v>#DIV/0!</v>
      </c>
      <c r="S40" t="e">
        <f t="shared" si="13"/>
        <v>#DIV/0!</v>
      </c>
      <c r="T40" t="e">
        <f t="shared" si="5"/>
        <v>#VALUE!</v>
      </c>
      <c r="U40" t="e">
        <f t="shared" si="14"/>
        <v>#VALUE!</v>
      </c>
      <c r="V40">
        <f t="shared" si="6"/>
        <v>0</v>
      </c>
      <c r="W40">
        <f>IF(E40=2,V40,V40*PDL!F12)</f>
        <v>0</v>
      </c>
      <c r="X40">
        <v>9</v>
      </c>
      <c r="Y40" t="str">
        <f t="shared" si="7"/>
        <v>DN 65 / DE 75; PN 6 - DI 66</v>
      </c>
      <c r="Z40" s="573">
        <v>65</v>
      </c>
      <c r="AA40" s="551">
        <v>75</v>
      </c>
      <c r="AB40" s="576">
        <v>6</v>
      </c>
      <c r="AC40" s="576">
        <v>66</v>
      </c>
      <c r="AD40" s="590" t="e">
        <f t="shared" si="8"/>
        <v>#DIV/0!</v>
      </c>
      <c r="AE40" s="590" t="e">
        <f t="shared" si="18"/>
        <v>#DIV/0!</v>
      </c>
      <c r="AF40" s="551" t="e">
        <f t="shared" si="15"/>
        <v>#DIV/0!</v>
      </c>
      <c r="AG40" t="e">
        <f t="shared" si="16"/>
        <v>#DIV/0!</v>
      </c>
    </row>
    <row r="41" spans="1:33" x14ac:dyDescent="0.25">
      <c r="A41">
        <v>9</v>
      </c>
      <c r="B41" s="583" t="s">
        <v>1976</v>
      </c>
      <c r="C41" s="585">
        <v>0.8</v>
      </c>
      <c r="E41">
        <v>1</v>
      </c>
      <c r="F41" t="str">
        <f t="shared" si="9"/>
        <v/>
      </c>
      <c r="G41">
        <f t="shared" si="17"/>
        <v>0</v>
      </c>
      <c r="H41">
        <f>IF(E41=2,PDL!F13,'Berechnung PDL'!G41)</f>
        <v>0</v>
      </c>
      <c r="I41" s="580">
        <v>1</v>
      </c>
      <c r="J41" t="str">
        <f t="shared" si="0"/>
        <v/>
      </c>
      <c r="K41" s="17">
        <f t="shared" si="1"/>
        <v>0</v>
      </c>
      <c r="L41">
        <v>1</v>
      </c>
      <c r="M41" t="str">
        <f t="shared" si="10"/>
        <v>k-wert</v>
      </c>
      <c r="N41" t="b">
        <f t="shared" si="11"/>
        <v>0</v>
      </c>
      <c r="O41" t="str">
        <f t="shared" si="2"/>
        <v/>
      </c>
      <c r="P41" t="e">
        <f t="shared" si="12"/>
        <v>#DIV/0!</v>
      </c>
      <c r="Q41" t="e">
        <f t="shared" si="3"/>
        <v>#DIV/0!</v>
      </c>
      <c r="R41" t="e">
        <f t="shared" si="4"/>
        <v>#DIV/0!</v>
      </c>
      <c r="S41" t="e">
        <f t="shared" si="13"/>
        <v>#DIV/0!</v>
      </c>
      <c r="T41" t="e">
        <f t="shared" si="5"/>
        <v>#VALUE!</v>
      </c>
      <c r="U41" t="e">
        <f t="shared" si="14"/>
        <v>#VALUE!</v>
      </c>
      <c r="V41">
        <f t="shared" si="6"/>
        <v>0</v>
      </c>
      <c r="W41">
        <f>IF(E41=2,V41,V41*PDL!F13)</f>
        <v>0</v>
      </c>
      <c r="X41">
        <v>10</v>
      </c>
      <c r="Y41" t="str">
        <f t="shared" si="7"/>
        <v>DN 80 / DE 90; PN 10 - DI 73.6</v>
      </c>
      <c r="Z41" s="573">
        <v>80</v>
      </c>
      <c r="AA41" s="551">
        <v>90</v>
      </c>
      <c r="AB41" s="581">
        <v>10</v>
      </c>
      <c r="AC41" s="582">
        <v>73.599999999999994</v>
      </c>
      <c r="AD41" s="590" t="e">
        <f t="shared" si="8"/>
        <v>#DIV/0!</v>
      </c>
      <c r="AE41" s="590" t="e">
        <f t="shared" si="18"/>
        <v>#DIV/0!</v>
      </c>
      <c r="AF41" s="551" t="e">
        <f t="shared" si="15"/>
        <v>#DIV/0!</v>
      </c>
      <c r="AG41" t="e">
        <f t="shared" si="16"/>
        <v>#DIV/0!</v>
      </c>
    </row>
    <row r="42" spans="1:33" x14ac:dyDescent="0.25">
      <c r="A42">
        <v>10</v>
      </c>
      <c r="B42" s="583" t="s">
        <v>1979</v>
      </c>
      <c r="C42" s="585">
        <v>2</v>
      </c>
      <c r="E42">
        <v>1</v>
      </c>
      <c r="F42" t="str">
        <f t="shared" si="9"/>
        <v/>
      </c>
      <c r="G42">
        <f t="shared" si="17"/>
        <v>0</v>
      </c>
      <c r="H42">
        <f>IF(E42=2,PDL!F14,'Berechnung PDL'!G42)</f>
        <v>0</v>
      </c>
      <c r="I42" s="580">
        <v>1</v>
      </c>
      <c r="J42" t="str">
        <f t="shared" si="0"/>
        <v/>
      </c>
      <c r="K42" s="17">
        <f t="shared" si="1"/>
        <v>0</v>
      </c>
      <c r="L42">
        <v>1</v>
      </c>
      <c r="M42" t="str">
        <f t="shared" si="10"/>
        <v>k-wert</v>
      </c>
      <c r="N42" t="b">
        <f t="shared" si="11"/>
        <v>0</v>
      </c>
      <c r="O42" t="str">
        <f t="shared" si="2"/>
        <v/>
      </c>
      <c r="P42" t="e">
        <f t="shared" si="12"/>
        <v>#DIV/0!</v>
      </c>
      <c r="Q42" t="e">
        <f t="shared" si="3"/>
        <v>#DIV/0!</v>
      </c>
      <c r="R42" t="e">
        <f t="shared" si="4"/>
        <v>#DIV/0!</v>
      </c>
      <c r="S42" t="e">
        <f t="shared" si="13"/>
        <v>#DIV/0!</v>
      </c>
      <c r="T42" t="e">
        <f t="shared" si="5"/>
        <v>#VALUE!</v>
      </c>
      <c r="U42" t="e">
        <f t="shared" si="14"/>
        <v>#VALUE!</v>
      </c>
      <c r="V42">
        <f t="shared" si="6"/>
        <v>0</v>
      </c>
      <c r="W42">
        <f>IF(E42=2,V42,V42*PDL!F14)</f>
        <v>0</v>
      </c>
      <c r="X42">
        <v>11</v>
      </c>
      <c r="Y42" t="str">
        <f t="shared" si="7"/>
        <v>DN 80 / DE 90; PN 6 - DI 79.2</v>
      </c>
      <c r="Z42" s="573">
        <v>80</v>
      </c>
      <c r="AA42" s="551">
        <v>90</v>
      </c>
      <c r="AB42" s="576">
        <v>6</v>
      </c>
      <c r="AC42" s="577">
        <v>79.2</v>
      </c>
      <c r="AD42" s="590" t="e">
        <f t="shared" si="8"/>
        <v>#DIV/0!</v>
      </c>
      <c r="AE42" s="590" t="e">
        <f t="shared" si="18"/>
        <v>#DIV/0!</v>
      </c>
      <c r="AF42" s="551" t="e">
        <f t="shared" si="15"/>
        <v>#DIV/0!</v>
      </c>
      <c r="AG42" t="e">
        <f t="shared" si="16"/>
        <v>#DIV/0!</v>
      </c>
    </row>
    <row r="43" spans="1:33" x14ac:dyDescent="0.25">
      <c r="A43">
        <v>11</v>
      </c>
      <c r="B43" s="583" t="s">
        <v>1980</v>
      </c>
      <c r="C43" s="585">
        <v>1.5</v>
      </c>
      <c r="E43">
        <v>1</v>
      </c>
      <c r="F43" t="str">
        <f t="shared" si="9"/>
        <v/>
      </c>
      <c r="G43">
        <f t="shared" si="17"/>
        <v>0</v>
      </c>
      <c r="H43">
        <f>IF(E43=2,PDL!F15,'Berechnung PDL'!G43)</f>
        <v>0</v>
      </c>
      <c r="I43" s="580">
        <v>1</v>
      </c>
      <c r="J43" t="str">
        <f t="shared" si="0"/>
        <v/>
      </c>
      <c r="K43" s="17">
        <f t="shared" si="1"/>
        <v>0</v>
      </c>
      <c r="L43">
        <v>1</v>
      </c>
      <c r="M43" t="str">
        <f t="shared" si="10"/>
        <v>k-wert</v>
      </c>
      <c r="N43" t="b">
        <f t="shared" si="11"/>
        <v>0</v>
      </c>
      <c r="O43" t="str">
        <f t="shared" si="2"/>
        <v/>
      </c>
      <c r="P43" t="e">
        <f t="shared" si="12"/>
        <v>#DIV/0!</v>
      </c>
      <c r="Q43" t="e">
        <f t="shared" si="3"/>
        <v>#DIV/0!</v>
      </c>
      <c r="R43" t="e">
        <f t="shared" si="4"/>
        <v>#DIV/0!</v>
      </c>
      <c r="S43" t="e">
        <f t="shared" si="13"/>
        <v>#DIV/0!</v>
      </c>
      <c r="T43" t="e">
        <f t="shared" si="5"/>
        <v>#VALUE!</v>
      </c>
      <c r="U43" t="e">
        <f t="shared" si="14"/>
        <v>#VALUE!</v>
      </c>
      <c r="V43">
        <f t="shared" si="6"/>
        <v>0</v>
      </c>
      <c r="W43">
        <f>IF(E43=2,V43,V43*PDL!F15)</f>
        <v>0</v>
      </c>
      <c r="X43">
        <v>12</v>
      </c>
      <c r="Y43" t="str">
        <f t="shared" si="7"/>
        <v>DN 100 / DE 110; PN 10 - DI 90</v>
      </c>
      <c r="Z43" s="573">
        <v>100</v>
      </c>
      <c r="AA43" s="551">
        <v>110</v>
      </c>
      <c r="AB43" s="586">
        <v>10</v>
      </c>
      <c r="AC43" s="586">
        <v>90</v>
      </c>
      <c r="AD43" s="590" t="e">
        <f t="shared" si="8"/>
        <v>#DIV/0!</v>
      </c>
      <c r="AE43" s="590" t="e">
        <f t="shared" si="18"/>
        <v>#DIV/0!</v>
      </c>
      <c r="AF43" s="551" t="e">
        <f t="shared" si="15"/>
        <v>#DIV/0!</v>
      </c>
      <c r="AG43" t="e">
        <f t="shared" si="16"/>
        <v>#DIV/0!</v>
      </c>
    </row>
    <row r="44" spans="1:33" x14ac:dyDescent="0.25">
      <c r="A44">
        <v>12</v>
      </c>
      <c r="B44" s="583" t="s">
        <v>1981</v>
      </c>
      <c r="C44" s="585">
        <v>1</v>
      </c>
      <c r="E44">
        <v>1</v>
      </c>
      <c r="F44" t="str">
        <f t="shared" si="9"/>
        <v/>
      </c>
      <c r="G44">
        <f t="shared" si="17"/>
        <v>0</v>
      </c>
      <c r="H44">
        <f>IF(E44=2,PDL!F16,'Berechnung PDL'!G44)</f>
        <v>0</v>
      </c>
      <c r="I44" s="580">
        <v>1</v>
      </c>
      <c r="J44" t="str">
        <f t="shared" si="0"/>
        <v/>
      </c>
      <c r="K44" s="17">
        <f t="shared" si="1"/>
        <v>0</v>
      </c>
      <c r="L44">
        <v>1</v>
      </c>
      <c r="M44" t="str">
        <f t="shared" si="10"/>
        <v>k-wert</v>
      </c>
      <c r="N44" t="b">
        <f t="shared" si="11"/>
        <v>0</v>
      </c>
      <c r="O44" t="str">
        <f t="shared" si="2"/>
        <v/>
      </c>
      <c r="P44" t="e">
        <f t="shared" si="12"/>
        <v>#DIV/0!</v>
      </c>
      <c r="Q44" t="e">
        <f t="shared" si="3"/>
        <v>#DIV/0!</v>
      </c>
      <c r="R44" t="e">
        <f t="shared" si="4"/>
        <v>#DIV/0!</v>
      </c>
      <c r="S44" t="e">
        <f t="shared" si="13"/>
        <v>#DIV/0!</v>
      </c>
      <c r="T44" t="e">
        <f t="shared" si="5"/>
        <v>#VALUE!</v>
      </c>
      <c r="U44" t="e">
        <f t="shared" si="14"/>
        <v>#VALUE!</v>
      </c>
      <c r="V44">
        <f t="shared" si="6"/>
        <v>0</v>
      </c>
      <c r="W44">
        <f>IF(E44=2,V44,V44*PDL!F16)</f>
        <v>0</v>
      </c>
      <c r="X44">
        <v>13</v>
      </c>
      <c r="Y44" t="str">
        <f t="shared" si="7"/>
        <v>DN 100 / DE 110; PN 6 - DI 97.4</v>
      </c>
      <c r="Z44" s="573">
        <v>100</v>
      </c>
      <c r="AA44" s="551">
        <v>110</v>
      </c>
      <c r="AB44" s="576">
        <v>6</v>
      </c>
      <c r="AC44" s="577">
        <v>97.4</v>
      </c>
      <c r="AD44" s="590" t="e">
        <f t="shared" si="8"/>
        <v>#DIV/0!</v>
      </c>
      <c r="AE44" s="590" t="e">
        <f t="shared" si="18"/>
        <v>#DIV/0!</v>
      </c>
      <c r="AF44" s="551" t="e">
        <f t="shared" si="15"/>
        <v>#DIV/0!</v>
      </c>
      <c r="AG44" t="e">
        <f t="shared" si="16"/>
        <v>#DIV/0!</v>
      </c>
    </row>
    <row r="45" spans="1:33" x14ac:dyDescent="0.25">
      <c r="A45">
        <v>13</v>
      </c>
      <c r="B45" s="583" t="s">
        <v>1982</v>
      </c>
      <c r="C45" s="585">
        <v>0.3</v>
      </c>
      <c r="E45">
        <v>1</v>
      </c>
      <c r="F45" t="str">
        <f t="shared" si="9"/>
        <v/>
      </c>
      <c r="G45">
        <f t="shared" si="17"/>
        <v>0</v>
      </c>
      <c r="H45">
        <f>IF(E45=2,PDL!F17,'Berechnung PDL'!G45)</f>
        <v>0</v>
      </c>
      <c r="I45" s="9">
        <v>1</v>
      </c>
      <c r="J45" t="str">
        <f t="shared" si="0"/>
        <v/>
      </c>
      <c r="K45" s="17">
        <f t="shared" si="1"/>
        <v>0</v>
      </c>
      <c r="L45">
        <v>1</v>
      </c>
      <c r="M45" t="str">
        <f t="shared" si="10"/>
        <v>k-wert</v>
      </c>
      <c r="N45" t="b">
        <f t="shared" si="11"/>
        <v>0</v>
      </c>
      <c r="O45" t="str">
        <f t="shared" si="2"/>
        <v/>
      </c>
      <c r="P45" t="e">
        <f t="shared" si="12"/>
        <v>#DIV/0!</v>
      </c>
      <c r="Q45" t="e">
        <f t="shared" si="3"/>
        <v>#DIV/0!</v>
      </c>
      <c r="R45" t="e">
        <f t="shared" si="4"/>
        <v>#DIV/0!</v>
      </c>
      <c r="S45" t="e">
        <f t="shared" si="13"/>
        <v>#DIV/0!</v>
      </c>
      <c r="T45" t="e">
        <f t="shared" si="5"/>
        <v>#VALUE!</v>
      </c>
      <c r="U45" t="e">
        <f t="shared" si="14"/>
        <v>#VALUE!</v>
      </c>
      <c r="V45">
        <f t="shared" si="6"/>
        <v>0</v>
      </c>
      <c r="W45">
        <f>IF(E45=2,V45,V45*PDL!F17)</f>
        <v>0</v>
      </c>
      <c r="X45">
        <v>14</v>
      </c>
      <c r="Y45" t="str">
        <f t="shared" si="7"/>
        <v>DN 100 / DE 125; PN 10 - DI 102.2</v>
      </c>
      <c r="Z45" s="573">
        <v>100</v>
      </c>
      <c r="AA45" s="551">
        <v>125</v>
      </c>
      <c r="AB45" s="587">
        <v>10</v>
      </c>
      <c r="AC45" s="588">
        <v>102.2</v>
      </c>
      <c r="AD45" s="590" t="e">
        <f t="shared" si="8"/>
        <v>#DIV/0!</v>
      </c>
      <c r="AE45" s="590" t="e">
        <f t="shared" si="18"/>
        <v>#DIV/0!</v>
      </c>
      <c r="AF45" s="551" t="e">
        <f t="shared" si="15"/>
        <v>#DIV/0!</v>
      </c>
      <c r="AG45" t="e">
        <f t="shared" si="16"/>
        <v>#DIV/0!</v>
      </c>
    </row>
    <row r="46" spans="1:33" x14ac:dyDescent="0.25">
      <c r="A46">
        <v>14</v>
      </c>
      <c r="B46" s="3"/>
      <c r="C46" s="4"/>
      <c r="E46">
        <v>1</v>
      </c>
      <c r="F46" t="str">
        <f t="shared" si="9"/>
        <v/>
      </c>
      <c r="G46">
        <f t="shared" si="17"/>
        <v>0</v>
      </c>
      <c r="H46">
        <f>IF(E46=2,PDL!F18,'Berechnung PDL'!G46)</f>
        <v>0</v>
      </c>
      <c r="I46" s="9">
        <v>1</v>
      </c>
      <c r="J46" t="str">
        <f t="shared" si="0"/>
        <v/>
      </c>
      <c r="K46" s="17">
        <f t="shared" si="1"/>
        <v>0</v>
      </c>
      <c r="L46">
        <v>1</v>
      </c>
      <c r="M46" t="str">
        <f t="shared" si="10"/>
        <v>k-wert</v>
      </c>
      <c r="N46" t="b">
        <f t="shared" si="11"/>
        <v>0</v>
      </c>
      <c r="O46" t="str">
        <f t="shared" si="2"/>
        <v/>
      </c>
      <c r="P46" t="e">
        <f t="shared" si="12"/>
        <v>#DIV/0!</v>
      </c>
      <c r="Q46" t="e">
        <f t="shared" si="3"/>
        <v>#DIV/0!</v>
      </c>
      <c r="R46" t="e">
        <f t="shared" si="4"/>
        <v>#DIV/0!</v>
      </c>
      <c r="S46" t="e">
        <f t="shared" si="13"/>
        <v>#DIV/0!</v>
      </c>
      <c r="T46" t="e">
        <f t="shared" si="5"/>
        <v>#VALUE!</v>
      </c>
      <c r="U46" t="e">
        <f t="shared" si="14"/>
        <v>#VALUE!</v>
      </c>
      <c r="V46">
        <f t="shared" si="6"/>
        <v>0</v>
      </c>
      <c r="W46">
        <f>IF(E46=2,V46,V46*PDL!F18)</f>
        <v>0</v>
      </c>
      <c r="X46">
        <v>15</v>
      </c>
      <c r="Y46" t="str">
        <f t="shared" si="7"/>
        <v>DN 100 / DE 125; PN 6 - DI 110.8</v>
      </c>
      <c r="Z46" s="573">
        <v>100</v>
      </c>
      <c r="AA46" s="551">
        <v>125</v>
      </c>
      <c r="AB46" s="589">
        <v>6</v>
      </c>
      <c r="AC46" s="577">
        <v>110.8</v>
      </c>
      <c r="AD46" s="590" t="e">
        <f t="shared" si="8"/>
        <v>#DIV/0!</v>
      </c>
      <c r="AE46" s="590" t="e">
        <f t="shared" si="18"/>
        <v>#DIV/0!</v>
      </c>
      <c r="AF46" s="551" t="e">
        <f t="shared" si="15"/>
        <v>#DIV/0!</v>
      </c>
      <c r="AG46" t="e">
        <f t="shared" si="16"/>
        <v>#DIV/0!</v>
      </c>
    </row>
    <row r="47" spans="1:33" x14ac:dyDescent="0.25">
      <c r="A47">
        <v>15</v>
      </c>
      <c r="B47" s="3"/>
      <c r="C47" s="4"/>
      <c r="E47">
        <v>1</v>
      </c>
      <c r="F47" t="str">
        <f t="shared" si="9"/>
        <v/>
      </c>
      <c r="G47">
        <f t="shared" si="17"/>
        <v>0</v>
      </c>
      <c r="H47">
        <f>IF(E47=2,PDL!F19,'Berechnung PDL'!G47)</f>
        <v>0</v>
      </c>
      <c r="I47" s="9">
        <v>1</v>
      </c>
      <c r="J47" t="str">
        <f t="shared" si="0"/>
        <v/>
      </c>
      <c r="K47" s="17">
        <f t="shared" si="1"/>
        <v>0</v>
      </c>
      <c r="L47">
        <v>1</v>
      </c>
      <c r="M47" t="str">
        <f t="shared" si="10"/>
        <v>k-wert</v>
      </c>
      <c r="N47" t="b">
        <f t="shared" si="11"/>
        <v>0</v>
      </c>
      <c r="O47" t="str">
        <f t="shared" si="2"/>
        <v/>
      </c>
      <c r="P47" t="e">
        <f t="shared" si="12"/>
        <v>#DIV/0!</v>
      </c>
      <c r="Q47" t="e">
        <f t="shared" si="3"/>
        <v>#DIV/0!</v>
      </c>
      <c r="R47" t="e">
        <f t="shared" si="4"/>
        <v>#DIV/0!</v>
      </c>
      <c r="S47" t="e">
        <f t="shared" si="13"/>
        <v>#DIV/0!</v>
      </c>
      <c r="T47" t="e">
        <f t="shared" si="5"/>
        <v>#VALUE!</v>
      </c>
      <c r="U47" t="e">
        <f t="shared" si="14"/>
        <v>#VALUE!</v>
      </c>
      <c r="V47">
        <f t="shared" si="6"/>
        <v>0</v>
      </c>
      <c r="W47">
        <f>IF(E47=2,V47,V47*PDL!F19)</f>
        <v>0</v>
      </c>
      <c r="X47">
        <v>16</v>
      </c>
      <c r="Y47" t="str">
        <f t="shared" si="7"/>
        <v>DN 125 / DE 140; PN 10 - DI 114.4</v>
      </c>
      <c r="Z47" s="573">
        <v>125</v>
      </c>
      <c r="AA47" s="551">
        <v>140</v>
      </c>
      <c r="AB47" s="586">
        <v>10</v>
      </c>
      <c r="AC47" s="588">
        <v>114.4</v>
      </c>
      <c r="AD47" s="590" t="e">
        <f t="shared" si="8"/>
        <v>#DIV/0!</v>
      </c>
      <c r="AE47" s="590" t="e">
        <f t="shared" si="18"/>
        <v>#DIV/0!</v>
      </c>
      <c r="AF47" s="551" t="e">
        <f t="shared" si="15"/>
        <v>#DIV/0!</v>
      </c>
      <c r="AG47" t="e">
        <f t="shared" si="16"/>
        <v>#DIV/0!</v>
      </c>
    </row>
    <row r="48" spans="1:33" x14ac:dyDescent="0.25">
      <c r="A48">
        <v>16</v>
      </c>
      <c r="B48" s="3"/>
      <c r="C48" s="4"/>
      <c r="E48">
        <v>1</v>
      </c>
      <c r="F48" t="str">
        <f t="shared" si="9"/>
        <v/>
      </c>
      <c r="G48">
        <f t="shared" si="17"/>
        <v>0</v>
      </c>
      <c r="H48">
        <f>IF(E48=2,PDL!F20,'Berechnung PDL'!G48)</f>
        <v>0</v>
      </c>
      <c r="I48" s="9">
        <v>1</v>
      </c>
      <c r="J48" t="str">
        <f t="shared" si="0"/>
        <v/>
      </c>
      <c r="K48" s="17">
        <f t="shared" si="1"/>
        <v>0</v>
      </c>
      <c r="L48">
        <v>1</v>
      </c>
      <c r="M48" t="str">
        <f t="shared" si="10"/>
        <v>k-wert</v>
      </c>
      <c r="N48" t="b">
        <f t="shared" si="11"/>
        <v>0</v>
      </c>
      <c r="O48" t="str">
        <f t="shared" si="2"/>
        <v/>
      </c>
      <c r="P48" t="e">
        <f t="shared" si="12"/>
        <v>#DIV/0!</v>
      </c>
      <c r="Q48" t="e">
        <f t="shared" si="3"/>
        <v>#DIV/0!</v>
      </c>
      <c r="R48" t="e">
        <f t="shared" si="4"/>
        <v>#DIV/0!</v>
      </c>
      <c r="S48" t="e">
        <f t="shared" si="13"/>
        <v>#DIV/0!</v>
      </c>
      <c r="T48" t="e">
        <f t="shared" si="5"/>
        <v>#VALUE!</v>
      </c>
      <c r="U48" t="e">
        <f t="shared" si="14"/>
        <v>#VALUE!</v>
      </c>
      <c r="V48">
        <f t="shared" si="6"/>
        <v>0</v>
      </c>
      <c r="W48">
        <f>IF(E48=2,V48,V48*PDL!F20)</f>
        <v>0</v>
      </c>
      <c r="X48">
        <v>17</v>
      </c>
      <c r="Y48" t="str">
        <f t="shared" si="7"/>
        <v>DN 125 / DE 140; PN 6 - DI 124</v>
      </c>
      <c r="Z48" s="573">
        <v>125</v>
      </c>
      <c r="AA48" s="551">
        <v>140</v>
      </c>
      <c r="AB48" s="576">
        <v>6</v>
      </c>
      <c r="AC48" s="576">
        <v>124</v>
      </c>
      <c r="AD48" s="590" t="e">
        <f t="shared" si="8"/>
        <v>#DIV/0!</v>
      </c>
      <c r="AE48" s="590" t="e">
        <f t="shared" si="18"/>
        <v>#DIV/0!</v>
      </c>
      <c r="AF48" s="551" t="e">
        <f t="shared" si="15"/>
        <v>#DIV/0!</v>
      </c>
      <c r="AG48" t="e">
        <f t="shared" si="16"/>
        <v>#DIV/0!</v>
      </c>
    </row>
    <row r="49" spans="1:33" x14ac:dyDescent="0.25">
      <c r="A49">
        <v>17</v>
      </c>
      <c r="B49" s="3"/>
      <c r="C49" s="4"/>
      <c r="E49">
        <v>1</v>
      </c>
      <c r="F49" t="str">
        <f t="shared" si="9"/>
        <v/>
      </c>
      <c r="G49">
        <f t="shared" si="17"/>
        <v>0</v>
      </c>
      <c r="H49">
        <f>IF(E49=2,PDL!F21,'Berechnung PDL'!G49)</f>
        <v>0</v>
      </c>
      <c r="I49" s="9">
        <v>1</v>
      </c>
      <c r="J49" t="str">
        <f t="shared" si="0"/>
        <v/>
      </c>
      <c r="K49" s="17">
        <f t="shared" si="1"/>
        <v>0</v>
      </c>
      <c r="L49">
        <v>1</v>
      </c>
      <c r="M49" t="str">
        <f t="shared" si="10"/>
        <v>k-wert</v>
      </c>
      <c r="N49" t="b">
        <f t="shared" si="11"/>
        <v>0</v>
      </c>
      <c r="O49" t="str">
        <f t="shared" si="2"/>
        <v/>
      </c>
      <c r="P49" t="e">
        <f t="shared" si="12"/>
        <v>#DIV/0!</v>
      </c>
      <c r="Q49" t="e">
        <f t="shared" si="3"/>
        <v>#DIV/0!</v>
      </c>
      <c r="R49" t="e">
        <f t="shared" si="4"/>
        <v>#DIV/0!</v>
      </c>
      <c r="S49" t="e">
        <f t="shared" si="13"/>
        <v>#DIV/0!</v>
      </c>
      <c r="T49" t="e">
        <f t="shared" si="5"/>
        <v>#VALUE!</v>
      </c>
      <c r="U49" t="e">
        <f t="shared" si="14"/>
        <v>#VALUE!</v>
      </c>
      <c r="V49">
        <f t="shared" si="6"/>
        <v>0</v>
      </c>
      <c r="W49">
        <f>IF(E49=2,V49,V49*PDL!F21)</f>
        <v>0</v>
      </c>
      <c r="X49">
        <v>18</v>
      </c>
      <c r="Y49" t="str">
        <f t="shared" si="7"/>
        <v>DN 150 / DE 160; PN 10 - DI 130.8</v>
      </c>
      <c r="Z49" s="573">
        <v>150</v>
      </c>
      <c r="AA49" s="551">
        <v>160</v>
      </c>
      <c r="AB49" s="586">
        <v>10</v>
      </c>
      <c r="AC49" s="588">
        <v>130.80000000000001</v>
      </c>
      <c r="AD49" s="590" t="e">
        <f t="shared" si="8"/>
        <v>#DIV/0!</v>
      </c>
      <c r="AE49" s="590" t="e">
        <f t="shared" si="18"/>
        <v>#DIV/0!</v>
      </c>
      <c r="AF49" s="551" t="e">
        <f t="shared" si="15"/>
        <v>#DIV/0!</v>
      </c>
      <c r="AG49" t="e">
        <f t="shared" si="16"/>
        <v>#DIV/0!</v>
      </c>
    </row>
    <row r="50" spans="1:33" x14ac:dyDescent="0.25">
      <c r="A50">
        <v>18</v>
      </c>
      <c r="B50" s="3"/>
      <c r="C50" s="4"/>
      <c r="E50">
        <v>1</v>
      </c>
      <c r="F50" t="str">
        <f>IF(VLOOKUP(E50,$A$33:$C$53,2,0)=$B$33,"",(VLOOKUP(E50,$A$33:$C$53,2,0)))</f>
        <v/>
      </c>
      <c r="G50">
        <f t="shared" si="17"/>
        <v>0</v>
      </c>
      <c r="H50">
        <f>IF(E50=2,PDL!F22,'Berechnung PDL'!G50)</f>
        <v>0</v>
      </c>
      <c r="I50" s="9">
        <v>1</v>
      </c>
      <c r="J50" t="str">
        <f t="shared" si="0"/>
        <v/>
      </c>
      <c r="K50" s="17">
        <f t="shared" si="1"/>
        <v>0</v>
      </c>
      <c r="L50">
        <v>1</v>
      </c>
      <c r="M50" t="str">
        <f t="shared" si="10"/>
        <v>k-wert</v>
      </c>
      <c r="N50" t="b">
        <f t="shared" si="11"/>
        <v>0</v>
      </c>
      <c r="O50" t="str">
        <f t="shared" si="2"/>
        <v/>
      </c>
      <c r="P50" t="e">
        <f t="shared" si="12"/>
        <v>#DIV/0!</v>
      </c>
      <c r="Q50" t="e">
        <f t="shared" si="3"/>
        <v>#DIV/0!</v>
      </c>
      <c r="R50" t="e">
        <f t="shared" si="4"/>
        <v>#DIV/0!</v>
      </c>
      <c r="S50" t="e">
        <f t="shared" si="13"/>
        <v>#DIV/0!</v>
      </c>
      <c r="T50" t="e">
        <f t="shared" si="5"/>
        <v>#VALUE!</v>
      </c>
      <c r="U50" t="e">
        <f t="shared" si="14"/>
        <v>#VALUE!</v>
      </c>
      <c r="V50">
        <f t="shared" si="6"/>
        <v>0</v>
      </c>
      <c r="W50">
        <f>IF(E50=2,V50,V50*PDL!F22)</f>
        <v>0</v>
      </c>
      <c r="X50">
        <v>19</v>
      </c>
      <c r="Y50" t="str">
        <f t="shared" si="7"/>
        <v>DN 150 / DE 160; PN 6 - DI 141.8</v>
      </c>
      <c r="Z50" s="573">
        <v>150</v>
      </c>
      <c r="AA50" s="551">
        <v>160</v>
      </c>
      <c r="AB50" s="576">
        <v>6</v>
      </c>
      <c r="AC50" s="577">
        <v>141.80000000000001</v>
      </c>
      <c r="AD50" s="590" t="e">
        <f t="shared" si="8"/>
        <v>#DIV/0!</v>
      </c>
      <c r="AE50" s="590" t="e">
        <f t="shared" si="18"/>
        <v>#DIV/0!</v>
      </c>
      <c r="AF50" s="551" t="e">
        <f t="shared" si="15"/>
        <v>#DIV/0!</v>
      </c>
      <c r="AG50" t="e">
        <f t="shared" si="16"/>
        <v>#DIV/0!</v>
      </c>
    </row>
    <row r="51" spans="1:33" x14ac:dyDescent="0.25">
      <c r="A51">
        <v>19</v>
      </c>
      <c r="B51" s="3"/>
      <c r="C51" s="4"/>
      <c r="H51" s="9"/>
      <c r="I51" s="9"/>
      <c r="J51" s="9"/>
      <c r="U51" s="556"/>
      <c r="W51" s="596">
        <f>SUM(W34:W50)</f>
        <v>2.9326968684449164</v>
      </c>
      <c r="X51">
        <v>20</v>
      </c>
      <c r="Y51" t="str">
        <f t="shared" si="7"/>
        <v>DN 150 / DE 180; PN 10 - DI 147.2</v>
      </c>
      <c r="Z51" s="573">
        <v>150</v>
      </c>
      <c r="AA51" s="551">
        <v>180</v>
      </c>
      <c r="AB51" s="586">
        <v>10</v>
      </c>
      <c r="AC51" s="588">
        <v>147.19999999999999</v>
      </c>
      <c r="AD51" s="590">
        <f t="shared" si="8"/>
        <v>0</v>
      </c>
      <c r="AE51" s="590" t="b">
        <f t="shared" si="18"/>
        <v>1</v>
      </c>
      <c r="AF51" s="551" t="b">
        <f t="shared" si="15"/>
        <v>0</v>
      </c>
      <c r="AG51" t="b">
        <f t="shared" si="16"/>
        <v>1</v>
      </c>
    </row>
    <row r="52" spans="1:33" x14ac:dyDescent="0.25">
      <c r="A52">
        <v>20</v>
      </c>
      <c r="B52" s="3"/>
      <c r="C52" s="4"/>
      <c r="I52" s="9"/>
      <c r="J52" s="9"/>
      <c r="U52" s="556"/>
      <c r="V52" s="556"/>
      <c r="X52">
        <v>21</v>
      </c>
      <c r="Y52" t="str">
        <f t="shared" si="7"/>
        <v>DN 150 / DE 180; PN 6 - DI 159.2</v>
      </c>
      <c r="Z52" s="573">
        <v>150</v>
      </c>
      <c r="AA52" s="551">
        <v>180</v>
      </c>
      <c r="AB52" s="576">
        <v>6</v>
      </c>
      <c r="AC52" s="577">
        <v>159.19999999999999</v>
      </c>
      <c r="AD52" s="556"/>
      <c r="AE52" s="556"/>
      <c r="AF52" s="551"/>
    </row>
    <row r="53" spans="1:33" ht="15.75" thickBot="1" x14ac:dyDescent="0.3">
      <c r="A53">
        <v>21</v>
      </c>
      <c r="B53" s="5"/>
      <c r="C53" s="6"/>
      <c r="I53" s="9"/>
      <c r="J53" s="9"/>
      <c r="X53">
        <v>22</v>
      </c>
      <c r="Y53" t="str">
        <f t="shared" si="7"/>
        <v>DN 200 / DE 225; PN 10 - DI 184</v>
      </c>
      <c r="Z53" s="573">
        <v>200</v>
      </c>
      <c r="AA53" s="551">
        <v>225</v>
      </c>
      <c r="AB53" s="586">
        <v>10</v>
      </c>
      <c r="AC53" s="586">
        <v>184</v>
      </c>
    </row>
    <row r="54" spans="1:33" x14ac:dyDescent="0.25">
      <c r="H54">
        <v>2</v>
      </c>
      <c r="I54" t="s">
        <v>2089</v>
      </c>
      <c r="X54">
        <v>23</v>
      </c>
      <c r="Y54" t="str">
        <f t="shared" si="7"/>
        <v>DN 200 / DE 225; PN 6 - DI 199.4</v>
      </c>
      <c r="Z54" s="573">
        <v>200</v>
      </c>
      <c r="AA54" s="551">
        <v>225</v>
      </c>
      <c r="AB54" s="576">
        <v>6</v>
      </c>
      <c r="AC54" s="577">
        <v>199.4</v>
      </c>
    </row>
    <row r="55" spans="1:33" x14ac:dyDescent="0.25">
      <c r="H55" t="b">
        <f>IF(H54=3,TRUE,FALSE)</f>
        <v>0</v>
      </c>
      <c r="I55" t="s">
        <v>2087</v>
      </c>
    </row>
    <row r="56" spans="1:33" x14ac:dyDescent="0.25">
      <c r="A56">
        <v>1</v>
      </c>
      <c r="E56" t="s">
        <v>2006</v>
      </c>
      <c r="I56" t="s">
        <v>2088</v>
      </c>
      <c r="P56" s="571"/>
    </row>
    <row r="57" spans="1:33" x14ac:dyDescent="0.25">
      <c r="A57">
        <v>2</v>
      </c>
      <c r="B57" t="s">
        <v>2007</v>
      </c>
      <c r="E57">
        <v>1.4E-3</v>
      </c>
      <c r="P57" s="571"/>
    </row>
    <row r="58" spans="1:33" x14ac:dyDescent="0.25">
      <c r="A58">
        <v>3</v>
      </c>
      <c r="B58" t="s">
        <v>2008</v>
      </c>
      <c r="E58">
        <v>0.03</v>
      </c>
      <c r="I58" t="s">
        <v>2074</v>
      </c>
      <c r="P58" s="571"/>
    </row>
    <row r="59" spans="1:33" x14ac:dyDescent="0.25">
      <c r="A59">
        <v>4</v>
      </c>
      <c r="B59" t="s">
        <v>2009</v>
      </c>
      <c r="E59">
        <v>1.4E-3</v>
      </c>
      <c r="P59" s="571"/>
    </row>
    <row r="60" spans="1:33" x14ac:dyDescent="0.25">
      <c r="A60">
        <v>5</v>
      </c>
      <c r="B60" t="s">
        <v>2010</v>
      </c>
      <c r="E60">
        <v>0.03</v>
      </c>
      <c r="I60">
        <f>Tabelle3!M73</f>
        <v>0</v>
      </c>
      <c r="O60" s="571"/>
    </row>
    <row r="61" spans="1:33" x14ac:dyDescent="0.25">
      <c r="A61">
        <v>6</v>
      </c>
      <c r="B61" t="s">
        <v>2011</v>
      </c>
      <c r="E61">
        <v>6.5000000000000002E-2</v>
      </c>
      <c r="I61" t="e">
        <f>Tabelle3!AD14</f>
        <v>#VALUE!</v>
      </c>
      <c r="N61" s="571"/>
    </row>
    <row r="62" spans="1:33" x14ac:dyDescent="0.25">
      <c r="A62">
        <v>7</v>
      </c>
      <c r="B62" t="s">
        <v>2012</v>
      </c>
      <c r="E62">
        <v>0.55000000000000004</v>
      </c>
      <c r="I62" t="e">
        <f>Tabelle3!M57</f>
        <v>#VALUE!</v>
      </c>
      <c r="J62" t="e">
        <f>I62-I61</f>
        <v>#VALUE!</v>
      </c>
      <c r="N62" s="571"/>
    </row>
    <row r="63" spans="1:33" x14ac:dyDescent="0.25">
      <c r="A63">
        <v>8</v>
      </c>
      <c r="B63" t="s">
        <v>2013</v>
      </c>
      <c r="E63">
        <v>1.5</v>
      </c>
      <c r="N63" s="571"/>
    </row>
    <row r="64" spans="1:33" x14ac:dyDescent="0.25">
      <c r="A64">
        <v>9</v>
      </c>
      <c r="B64" t="s">
        <v>2014</v>
      </c>
      <c r="E64">
        <v>2.5</v>
      </c>
      <c r="N64" s="571"/>
    </row>
    <row r="65" spans="1:14" x14ac:dyDescent="0.25">
      <c r="A65">
        <v>10</v>
      </c>
      <c r="B65" t="s">
        <v>2015</v>
      </c>
      <c r="E65">
        <v>0.25</v>
      </c>
      <c r="N65" s="571"/>
    </row>
    <row r="66" spans="1:14" x14ac:dyDescent="0.25">
      <c r="A66">
        <v>11</v>
      </c>
      <c r="B66" t="s">
        <v>2016</v>
      </c>
      <c r="E66">
        <v>0.125</v>
      </c>
      <c r="N66" s="571"/>
    </row>
    <row r="67" spans="1:14" x14ac:dyDescent="0.25">
      <c r="A67">
        <v>12</v>
      </c>
      <c r="B67" t="s">
        <v>2017</v>
      </c>
      <c r="E67">
        <v>0.125</v>
      </c>
      <c r="N67" s="571"/>
    </row>
    <row r="68" spans="1:14" x14ac:dyDescent="0.25">
      <c r="A68">
        <v>13</v>
      </c>
      <c r="B68" t="s">
        <v>2018</v>
      </c>
      <c r="E68">
        <v>0.5</v>
      </c>
      <c r="N68" s="571"/>
    </row>
    <row r="69" spans="1:14" x14ac:dyDescent="0.25">
      <c r="A69">
        <v>14</v>
      </c>
      <c r="B69" t="s">
        <v>2019</v>
      </c>
      <c r="E69">
        <v>1.4E-3</v>
      </c>
      <c r="N69" s="571"/>
    </row>
    <row r="70" spans="1:14" x14ac:dyDescent="0.25">
      <c r="A70">
        <v>15</v>
      </c>
      <c r="B70" t="s">
        <v>2020</v>
      </c>
      <c r="E70">
        <v>0.03</v>
      </c>
      <c r="N70" s="571"/>
    </row>
    <row r="71" spans="1:14" x14ac:dyDescent="0.25">
      <c r="A71">
        <v>16</v>
      </c>
      <c r="B71" t="s">
        <v>2021</v>
      </c>
      <c r="E71">
        <v>1.6000000000000001E-3</v>
      </c>
      <c r="N71" s="571"/>
    </row>
    <row r="72" spans="1:14" x14ac:dyDescent="0.25">
      <c r="A72">
        <v>17</v>
      </c>
      <c r="B72" t="s">
        <v>2022</v>
      </c>
      <c r="E72">
        <v>0.4</v>
      </c>
      <c r="N72" s="571"/>
    </row>
    <row r="73" spans="1:14" x14ac:dyDescent="0.25">
      <c r="A73">
        <v>18</v>
      </c>
      <c r="B73" t="s">
        <v>2023</v>
      </c>
      <c r="E73">
        <v>0.115</v>
      </c>
      <c r="N73" s="571"/>
    </row>
    <row r="74" spans="1:14" x14ac:dyDescent="0.25">
      <c r="A74">
        <v>19</v>
      </c>
      <c r="B74" t="s">
        <v>2024</v>
      </c>
      <c r="E74">
        <v>1.25</v>
      </c>
      <c r="N74" s="571"/>
    </row>
    <row r="75" spans="1:14" x14ac:dyDescent="0.25">
      <c r="A75">
        <v>20</v>
      </c>
      <c r="B75" t="s">
        <v>2025</v>
      </c>
      <c r="E75">
        <v>3</v>
      </c>
      <c r="N75" s="571"/>
    </row>
    <row r="76" spans="1:14" x14ac:dyDescent="0.25">
      <c r="A76">
        <v>21</v>
      </c>
      <c r="B76" t="s">
        <v>2026</v>
      </c>
      <c r="E76">
        <v>1.5</v>
      </c>
      <c r="N76" s="571"/>
    </row>
    <row r="77" spans="1:14" x14ac:dyDescent="0.25">
      <c r="A77">
        <v>22</v>
      </c>
      <c r="B77" t="s">
        <v>2027</v>
      </c>
      <c r="E77">
        <v>1.2</v>
      </c>
      <c r="N77" s="571"/>
    </row>
    <row r="78" spans="1:14" x14ac:dyDescent="0.25">
      <c r="A78">
        <v>23</v>
      </c>
      <c r="B78" t="s">
        <v>2028</v>
      </c>
      <c r="E78">
        <v>0.6</v>
      </c>
      <c r="N78" s="571"/>
    </row>
    <row r="79" spans="1:14" x14ac:dyDescent="0.25">
      <c r="A79">
        <v>24</v>
      </c>
      <c r="B79" t="s">
        <v>2029</v>
      </c>
      <c r="E79">
        <v>0.1</v>
      </c>
      <c r="N79" s="571"/>
    </row>
    <row r="80" spans="1:14" x14ac:dyDescent="0.25">
      <c r="A80">
        <v>25</v>
      </c>
      <c r="B80" t="s">
        <v>2030</v>
      </c>
      <c r="E80">
        <v>1.4E-3</v>
      </c>
      <c r="N80" s="571"/>
    </row>
    <row r="81" spans="1:14" x14ac:dyDescent="0.25">
      <c r="A81">
        <v>26</v>
      </c>
      <c r="B81" t="s">
        <v>2031</v>
      </c>
      <c r="E81">
        <v>0.03</v>
      </c>
      <c r="N81" s="571"/>
    </row>
    <row r="82" spans="1:14" x14ac:dyDescent="0.25">
      <c r="A82">
        <v>27</v>
      </c>
      <c r="B82" t="s">
        <v>2032</v>
      </c>
      <c r="E82">
        <v>1.3500000000000001E-3</v>
      </c>
      <c r="N82" s="571"/>
    </row>
    <row r="83" spans="1:14" x14ac:dyDescent="0.25">
      <c r="A83">
        <v>28</v>
      </c>
      <c r="B83" t="s">
        <v>2033</v>
      </c>
      <c r="E83">
        <v>0.03</v>
      </c>
      <c r="N83" s="571"/>
    </row>
    <row r="84" spans="1:14" x14ac:dyDescent="0.25">
      <c r="A84">
        <v>29</v>
      </c>
      <c r="B84" t="s">
        <v>2034</v>
      </c>
      <c r="E84">
        <v>0.15</v>
      </c>
      <c r="N84" s="571"/>
    </row>
    <row r="85" spans="1:14" x14ac:dyDescent="0.25">
      <c r="A85">
        <v>30</v>
      </c>
      <c r="B85" t="s">
        <v>2035</v>
      </c>
      <c r="E85">
        <v>0.27500000000000002</v>
      </c>
      <c r="N85" s="571"/>
    </row>
    <row r="86" spans="1:14" x14ac:dyDescent="0.25">
      <c r="A86">
        <v>31</v>
      </c>
      <c r="B86" t="s">
        <v>2036</v>
      </c>
      <c r="E86">
        <v>3</v>
      </c>
      <c r="N86" s="571"/>
    </row>
    <row r="87" spans="1:14" x14ac:dyDescent="0.25">
      <c r="A87">
        <v>32</v>
      </c>
      <c r="B87" t="s">
        <v>2037</v>
      </c>
      <c r="E87">
        <v>0.17499999999999999</v>
      </c>
      <c r="N87" s="571"/>
    </row>
    <row r="88" spans="1:14" x14ac:dyDescent="0.25">
      <c r="A88">
        <v>33</v>
      </c>
      <c r="B88" t="s">
        <v>2038</v>
      </c>
      <c r="E88">
        <v>0.04</v>
      </c>
      <c r="N88" s="571"/>
    </row>
    <row r="89" spans="1:14" x14ac:dyDescent="0.25">
      <c r="A89">
        <v>34</v>
      </c>
      <c r="B89" t="s">
        <v>2039</v>
      </c>
      <c r="E89">
        <v>3.5000000000000003E-2</v>
      </c>
      <c r="N89" s="571"/>
    </row>
    <row r="90" spans="1:14" x14ac:dyDescent="0.25">
      <c r="A90">
        <v>35</v>
      </c>
      <c r="B90" t="s">
        <v>2040</v>
      </c>
      <c r="E90">
        <v>4.4999999999999998E-2</v>
      </c>
      <c r="N90" s="571"/>
    </row>
    <row r="91" spans="1:14" x14ac:dyDescent="0.25">
      <c r="A91">
        <v>36</v>
      </c>
      <c r="B91" t="s">
        <v>2041</v>
      </c>
      <c r="E91">
        <v>8.5000000000000006E-2</v>
      </c>
      <c r="N91" s="571"/>
    </row>
    <row r="92" spans="1:14" x14ac:dyDescent="0.25">
      <c r="A92">
        <v>37</v>
      </c>
      <c r="B92" t="s">
        <v>2042</v>
      </c>
      <c r="E92">
        <v>0.13</v>
      </c>
      <c r="N92" s="571"/>
    </row>
    <row r="93" spans="1:14" x14ac:dyDescent="0.25">
      <c r="A93">
        <v>38</v>
      </c>
      <c r="B93" t="s">
        <v>2043</v>
      </c>
      <c r="E93">
        <v>7.0000000000000007E-2</v>
      </c>
      <c r="N93" s="571"/>
    </row>
    <row r="94" spans="1:14" x14ac:dyDescent="0.25">
      <c r="A94">
        <v>39</v>
      </c>
      <c r="B94" t="s">
        <v>2044</v>
      </c>
      <c r="E94">
        <v>3.0000000000000002E-2</v>
      </c>
      <c r="N94" s="571"/>
    </row>
    <row r="95" spans="1:14" x14ac:dyDescent="0.25">
      <c r="A95">
        <v>40</v>
      </c>
      <c r="B95" t="s">
        <v>2045</v>
      </c>
      <c r="E95">
        <v>8.0000000000000002E-3</v>
      </c>
      <c r="N95" s="571"/>
    </row>
    <row r="96" spans="1:14" x14ac:dyDescent="0.25">
      <c r="A96">
        <v>41</v>
      </c>
      <c r="B96" t="s">
        <v>2080</v>
      </c>
      <c r="E96">
        <f>PDL!D4</f>
        <v>0.01</v>
      </c>
      <c r="N96" s="571"/>
    </row>
    <row r="97" spans="14:14" x14ac:dyDescent="0.25">
      <c r="N97" s="571"/>
    </row>
    <row r="98" spans="14:14" x14ac:dyDescent="0.25">
      <c r="N98" s="571"/>
    </row>
    <row r="99" spans="14:14" x14ac:dyDescent="0.25">
      <c r="N99" s="571"/>
    </row>
    <row r="100" spans="14:14" x14ac:dyDescent="0.25">
      <c r="N100" s="571"/>
    </row>
    <row r="101" spans="14:14" x14ac:dyDescent="0.25">
      <c r="N101" s="571"/>
    </row>
    <row r="102" spans="14:14" x14ac:dyDescent="0.25">
      <c r="N102" s="571"/>
    </row>
    <row r="103" spans="14:14" x14ac:dyDescent="0.25">
      <c r="N103" s="571"/>
    </row>
    <row r="104" spans="14:14" x14ac:dyDescent="0.25">
      <c r="N104" s="571"/>
    </row>
    <row r="105" spans="14:14" x14ac:dyDescent="0.25">
      <c r="N105" s="571"/>
    </row>
    <row r="106" spans="14:14" x14ac:dyDescent="0.25">
      <c r="N106" s="571"/>
    </row>
    <row r="107" spans="14:14" x14ac:dyDescent="0.25">
      <c r="N107" s="571"/>
    </row>
    <row r="108" spans="14:14" x14ac:dyDescent="0.25">
      <c r="N108" s="571"/>
    </row>
    <row r="109" spans="14:14" x14ac:dyDescent="0.25">
      <c r="N109" s="571"/>
    </row>
    <row r="110" spans="14:14" x14ac:dyDescent="0.25">
      <c r="N110" s="571"/>
    </row>
    <row r="111" spans="14:14" x14ac:dyDescent="0.25">
      <c r="N111" s="571"/>
    </row>
    <row r="112" spans="14:14" x14ac:dyDescent="0.25">
      <c r="N112" s="571"/>
    </row>
    <row r="113" spans="14:14" x14ac:dyDescent="0.25">
      <c r="N113" s="571"/>
    </row>
    <row r="114" spans="14:14" x14ac:dyDescent="0.25">
      <c r="N114" s="571"/>
    </row>
    <row r="115" spans="14:14" x14ac:dyDescent="0.25">
      <c r="N115" s="571"/>
    </row>
    <row r="116" spans="14:14" x14ac:dyDescent="0.25">
      <c r="N116" s="571"/>
    </row>
    <row r="117" spans="14:14" x14ac:dyDescent="0.25">
      <c r="N117" s="571"/>
    </row>
    <row r="118" spans="14:14" x14ac:dyDescent="0.25">
      <c r="N118" s="571"/>
    </row>
    <row r="119" spans="14:14" x14ac:dyDescent="0.25">
      <c r="N119" s="571"/>
    </row>
    <row r="120" spans="14:14" x14ac:dyDescent="0.25">
      <c r="N120" s="571"/>
    </row>
    <row r="121" spans="14:14" x14ac:dyDescent="0.25">
      <c r="N121" s="571"/>
    </row>
    <row r="122" spans="14:14" x14ac:dyDescent="0.25">
      <c r="N122" s="571"/>
    </row>
    <row r="123" spans="14:14" x14ac:dyDescent="0.25">
      <c r="N123" s="571"/>
    </row>
    <row r="124" spans="14:14" x14ac:dyDescent="0.25">
      <c r="N124" s="571"/>
    </row>
    <row r="125" spans="14:14" x14ac:dyDescent="0.25">
      <c r="N125" s="571"/>
    </row>
    <row r="126" spans="14:14" x14ac:dyDescent="0.25">
      <c r="N126" s="571"/>
    </row>
    <row r="127" spans="14:14" x14ac:dyDescent="0.25">
      <c r="N127" s="571"/>
    </row>
    <row r="128" spans="14:14" x14ac:dyDescent="0.25">
      <c r="N128" s="571"/>
    </row>
    <row r="129" spans="14:14" x14ac:dyDescent="0.25">
      <c r="N129" s="571"/>
    </row>
    <row r="130" spans="14:14" x14ac:dyDescent="0.25">
      <c r="N130" s="571"/>
    </row>
    <row r="131" spans="14:14" x14ac:dyDescent="0.25">
      <c r="N131" s="571"/>
    </row>
    <row r="132" spans="14:14" x14ac:dyDescent="0.25">
      <c r="N132" s="571"/>
    </row>
    <row r="133" spans="14:14" x14ac:dyDescent="0.25">
      <c r="N133" s="571"/>
    </row>
    <row r="134" spans="14:14" x14ac:dyDescent="0.25">
      <c r="N134" s="571"/>
    </row>
    <row r="135" spans="14:14" x14ac:dyDescent="0.25">
      <c r="N135" s="571"/>
    </row>
    <row r="136" spans="14:14" x14ac:dyDescent="0.25">
      <c r="N136" s="571"/>
    </row>
    <row r="137" spans="14:14" x14ac:dyDescent="0.25">
      <c r="N137" s="571"/>
    </row>
    <row r="138" spans="14:14" x14ac:dyDescent="0.25">
      <c r="N138" s="571"/>
    </row>
    <row r="139" spans="14:14" x14ac:dyDescent="0.25">
      <c r="N139" s="571"/>
    </row>
    <row r="140" spans="14:14" x14ac:dyDescent="0.25">
      <c r="N140" s="571"/>
    </row>
    <row r="141" spans="14:14" x14ac:dyDescent="0.25">
      <c r="N141" s="571"/>
    </row>
    <row r="142" spans="14:14" x14ac:dyDescent="0.25">
      <c r="N142" s="571"/>
    </row>
    <row r="143" spans="14:14" x14ac:dyDescent="0.25">
      <c r="N143" s="571"/>
    </row>
    <row r="144" spans="14:14" x14ac:dyDescent="0.25">
      <c r="N144" s="571"/>
    </row>
    <row r="145" spans="14:14" x14ac:dyDescent="0.25">
      <c r="N145" s="571"/>
    </row>
    <row r="146" spans="14:14" x14ac:dyDescent="0.25">
      <c r="N146" s="571"/>
    </row>
    <row r="147" spans="14:14" x14ac:dyDescent="0.25">
      <c r="N147" s="571"/>
    </row>
    <row r="148" spans="14:14" x14ac:dyDescent="0.25">
      <c r="N148" s="571"/>
    </row>
    <row r="149" spans="14:14" x14ac:dyDescent="0.25">
      <c r="N149" s="571"/>
    </row>
    <row r="150" spans="14:14" x14ac:dyDescent="0.25">
      <c r="N150" s="571"/>
    </row>
    <row r="151" spans="14:14" x14ac:dyDescent="0.25">
      <c r="N151" s="571"/>
    </row>
    <row r="152" spans="14:14" x14ac:dyDescent="0.25">
      <c r="N152" s="571"/>
    </row>
    <row r="153" spans="14:14" x14ac:dyDescent="0.25">
      <c r="N153" s="571"/>
    </row>
    <row r="154" spans="14:14" x14ac:dyDescent="0.25">
      <c r="N154" s="571"/>
    </row>
    <row r="155" spans="14:14" x14ac:dyDescent="0.25">
      <c r="N155" s="571"/>
    </row>
    <row r="156" spans="14:14" x14ac:dyDescent="0.25">
      <c r="N156" s="571"/>
    </row>
    <row r="157" spans="14:14" x14ac:dyDescent="0.25">
      <c r="N157" s="571"/>
    </row>
    <row r="158" spans="14:14" x14ac:dyDescent="0.25">
      <c r="N158" s="571"/>
    </row>
    <row r="159" spans="14:14" x14ac:dyDescent="0.25">
      <c r="N159" s="571"/>
    </row>
    <row r="160" spans="14:14" x14ac:dyDescent="0.25">
      <c r="N160" s="571"/>
    </row>
    <row r="161" spans="14:14" x14ac:dyDescent="0.25">
      <c r="N161" s="571"/>
    </row>
    <row r="162" spans="14:14" x14ac:dyDescent="0.25">
      <c r="N162" s="571"/>
    </row>
    <row r="163" spans="14:14" x14ac:dyDescent="0.25">
      <c r="N163" s="571"/>
    </row>
    <row r="164" spans="14:14" x14ac:dyDescent="0.25">
      <c r="N164" s="571"/>
    </row>
    <row r="165" spans="14:14" x14ac:dyDescent="0.25">
      <c r="N165" s="571"/>
    </row>
    <row r="166" spans="14:14" x14ac:dyDescent="0.25">
      <c r="N166" s="571"/>
    </row>
    <row r="167" spans="14:14" x14ac:dyDescent="0.25">
      <c r="N167" s="571"/>
    </row>
    <row r="168" spans="14:14" x14ac:dyDescent="0.25">
      <c r="N168" s="571"/>
    </row>
    <row r="169" spans="14:14" x14ac:dyDescent="0.25">
      <c r="N169" s="571"/>
    </row>
    <row r="170" spans="14:14" x14ac:dyDescent="0.25">
      <c r="N170" s="571"/>
    </row>
    <row r="171" spans="14:14" x14ac:dyDescent="0.25">
      <c r="N171" s="571"/>
    </row>
    <row r="172" spans="14:14" x14ac:dyDescent="0.25">
      <c r="N172" s="571"/>
    </row>
    <row r="173" spans="14:14" x14ac:dyDescent="0.25">
      <c r="N173" s="571"/>
    </row>
    <row r="174" spans="14:14" x14ac:dyDescent="0.25">
      <c r="N174" s="571"/>
    </row>
    <row r="175" spans="14:14" x14ac:dyDescent="0.25">
      <c r="N175" s="571"/>
    </row>
    <row r="176" spans="14:14" x14ac:dyDescent="0.25">
      <c r="N176" s="571"/>
    </row>
    <row r="177" spans="14:14" x14ac:dyDescent="0.25">
      <c r="N177" s="571"/>
    </row>
    <row r="178" spans="14:14" x14ac:dyDescent="0.25">
      <c r="N178" s="571"/>
    </row>
    <row r="179" spans="14:14" x14ac:dyDescent="0.25">
      <c r="N179" s="571"/>
    </row>
    <row r="180" spans="14:14" x14ac:dyDescent="0.25">
      <c r="N180" s="571"/>
    </row>
    <row r="181" spans="14:14" x14ac:dyDescent="0.25">
      <c r="N181" s="571"/>
    </row>
    <row r="182" spans="14:14" x14ac:dyDescent="0.25">
      <c r="N182" s="571"/>
    </row>
    <row r="183" spans="14:14" x14ac:dyDescent="0.25">
      <c r="N183" s="571"/>
    </row>
    <row r="184" spans="14:14" x14ac:dyDescent="0.25">
      <c r="N184" s="571"/>
    </row>
    <row r="185" spans="14:14" x14ac:dyDescent="0.25">
      <c r="N185" s="571"/>
    </row>
    <row r="186" spans="14:14" x14ac:dyDescent="0.25">
      <c r="N186" s="571"/>
    </row>
    <row r="473" spans="8:8" x14ac:dyDescent="0.25">
      <c r="H473">
        <v>1</v>
      </c>
    </row>
  </sheetData>
  <mergeCells count="41">
    <mergeCell ref="O13:Q13"/>
    <mergeCell ref="D15:F15"/>
    <mergeCell ref="I15:L15"/>
    <mergeCell ref="D12:F12"/>
    <mergeCell ref="I12:L12"/>
    <mergeCell ref="D13:F13"/>
    <mergeCell ref="I13:L13"/>
    <mergeCell ref="D14:F14"/>
    <mergeCell ref="I14:L14"/>
    <mergeCell ref="D19:F19"/>
    <mergeCell ref="I19:L19"/>
    <mergeCell ref="D20:F20"/>
    <mergeCell ref="I20:L20"/>
    <mergeCell ref="D21:F21"/>
    <mergeCell ref="D16:F16"/>
    <mergeCell ref="I16:L16"/>
    <mergeCell ref="D17:F17"/>
    <mergeCell ref="I17:L17"/>
    <mergeCell ref="D18:F18"/>
    <mergeCell ref="I18:L18"/>
    <mergeCell ref="J25:K25"/>
    <mergeCell ref="L25:M25"/>
    <mergeCell ref="N25:O25"/>
    <mergeCell ref="P25:Q25"/>
    <mergeCell ref="D22:F22"/>
    <mergeCell ref="R25:U25"/>
    <mergeCell ref="V25:W25"/>
    <mergeCell ref="X25:AA25"/>
    <mergeCell ref="AB25:AC25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B26:AC26"/>
    <mergeCell ref="H25:I25"/>
  </mergeCells>
  <conditionalFormatting sqref="F5">
    <cfRule type="expression" priority="4">
      <formula>IF($E$34=2,TRUE,FALSE)</formula>
    </cfRule>
  </conditionalFormatting>
  <conditionalFormatting sqref="F7">
    <cfRule type="expression" dxfId="2" priority="3">
      <formula>IF($E$35=2,TRUE,FALSE)</formula>
    </cfRule>
  </conditionalFormatting>
  <conditionalFormatting sqref="H6">
    <cfRule type="expression" dxfId="1" priority="507">
      <formula>IF(OR($AE$34=TRUE,$AF$34=TRUE),FALSE,TRUE)</formula>
    </cfRule>
  </conditionalFormatting>
  <conditionalFormatting sqref="F25">
    <cfRule type="expression" dxfId="0" priority="508">
      <formula>IF($S$32=2,TRUE,FALSE)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workbookViewId="0">
      <selection activeCell="C35" sqref="C35"/>
    </sheetView>
  </sheetViews>
  <sheetFormatPr baseColWidth="10" defaultRowHeight="15" x14ac:dyDescent="0.25"/>
  <cols>
    <col min="3" max="3" width="24.140625" customWidth="1"/>
    <col min="8" max="8" width="11.42578125" customWidth="1"/>
  </cols>
  <sheetData>
    <row r="1" spans="1:35" x14ac:dyDescent="0.25">
      <c r="A1" s="513"/>
      <c r="B1" s="513"/>
      <c r="C1" s="514" t="s">
        <v>1923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</row>
    <row r="2" spans="1:35" ht="15.75" thickBot="1" x14ac:dyDescent="0.3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AF2" s="551"/>
      <c r="AG2" s="551"/>
      <c r="AH2" s="551"/>
      <c r="AI2" s="551"/>
    </row>
    <row r="3" spans="1:35" x14ac:dyDescent="0.25">
      <c r="A3" s="513"/>
      <c r="B3" s="513"/>
      <c r="C3" s="515" t="s">
        <v>1924</v>
      </c>
      <c r="D3" s="516"/>
      <c r="E3" s="516"/>
      <c r="F3" s="517"/>
      <c r="G3" s="513"/>
      <c r="H3" s="515" t="s">
        <v>1925</v>
      </c>
      <c r="I3" s="518"/>
      <c r="J3" s="516"/>
      <c r="K3" s="517"/>
      <c r="L3" s="513"/>
      <c r="M3" s="513"/>
      <c r="N3" s="513"/>
      <c r="AF3" s="551"/>
      <c r="AG3" s="551"/>
      <c r="AH3" s="551"/>
      <c r="AI3" s="551"/>
    </row>
    <row r="4" spans="1:35" x14ac:dyDescent="0.25">
      <c r="A4" s="513"/>
      <c r="B4" s="513"/>
      <c r="C4" s="519" t="s">
        <v>1926</v>
      </c>
      <c r="D4" s="520" t="s">
        <v>1927</v>
      </c>
      <c r="E4" s="521">
        <v>4</v>
      </c>
      <c r="F4" s="522" t="s">
        <v>1928</v>
      </c>
      <c r="G4" s="513"/>
      <c r="H4" s="519" t="s">
        <v>1929</v>
      </c>
      <c r="I4" s="523" t="s">
        <v>1930</v>
      </c>
      <c r="J4" s="524">
        <f>(J8*E5)/(E8*10^-6)</f>
        <v>48855.319259068536</v>
      </c>
      <c r="K4" s="522" t="s">
        <v>1931</v>
      </c>
      <c r="L4" s="513"/>
      <c r="M4" s="513"/>
      <c r="N4" s="513"/>
      <c r="AF4" s="551"/>
      <c r="AG4" s="551"/>
      <c r="AH4" s="551"/>
      <c r="AI4" s="551"/>
    </row>
    <row r="5" spans="1:35" x14ac:dyDescent="0.25">
      <c r="A5" s="513"/>
      <c r="B5" s="513"/>
      <c r="C5" s="519" t="s">
        <v>1932</v>
      </c>
      <c r="D5" s="520" t="s">
        <v>1933</v>
      </c>
      <c r="E5" s="521">
        <v>7.9799999999999996E-2</v>
      </c>
      <c r="F5" s="522" t="s">
        <v>1934</v>
      </c>
      <c r="G5" s="513"/>
      <c r="H5" s="519" t="s">
        <v>1935</v>
      </c>
      <c r="I5" s="523" t="s">
        <v>1936</v>
      </c>
      <c r="J5" s="525" t="str">
        <f>IF(J4&lt;2320,64/J4,"nicht laminar")</f>
        <v>nicht laminar</v>
      </c>
      <c r="K5" s="522" t="s">
        <v>1931</v>
      </c>
      <c r="L5" s="513"/>
      <c r="M5" s="526"/>
      <c r="N5" s="513"/>
      <c r="AF5" s="551"/>
      <c r="AG5" s="551"/>
      <c r="AH5" s="551"/>
      <c r="AI5" s="551"/>
    </row>
    <row r="6" spans="1:35" x14ac:dyDescent="0.25">
      <c r="A6" s="513"/>
      <c r="B6" s="513"/>
      <c r="C6" s="519" t="s">
        <v>1937</v>
      </c>
      <c r="D6" s="520" t="s">
        <v>1938</v>
      </c>
      <c r="E6" s="521">
        <v>28</v>
      </c>
      <c r="F6" s="522" t="s">
        <v>1934</v>
      </c>
      <c r="G6" s="513"/>
      <c r="H6" s="519" t="s">
        <v>1939</v>
      </c>
      <c r="I6" s="523" t="s">
        <v>1936</v>
      </c>
      <c r="J6" s="527">
        <f>0.31/(LOG(0.135*(($E$7/$E$5)+(6.5/$J$4))))^2</f>
        <v>2.2307224334690345E-2</v>
      </c>
      <c r="K6" s="522" t="s">
        <v>1931</v>
      </c>
      <c r="L6" s="513"/>
      <c r="M6" s="526"/>
      <c r="N6" s="513"/>
      <c r="AF6" s="551"/>
      <c r="AG6" s="551"/>
      <c r="AH6" s="551"/>
      <c r="AI6" s="551"/>
    </row>
    <row r="7" spans="1:35" x14ac:dyDescent="0.25">
      <c r="A7" s="513"/>
      <c r="B7" s="513"/>
      <c r="C7" s="519" t="s">
        <v>1940</v>
      </c>
      <c r="D7" s="520" t="s">
        <v>1941</v>
      </c>
      <c r="E7" s="521">
        <v>1E-4</v>
      </c>
      <c r="F7" s="522" t="s">
        <v>1934</v>
      </c>
      <c r="G7" s="513"/>
      <c r="H7" s="528" t="s">
        <v>1942</v>
      </c>
      <c r="I7" s="529" t="s">
        <v>1936</v>
      </c>
      <c r="J7" s="530">
        <f>IF(ISNUMBER(J5),J5, J6)</f>
        <v>2.2307224334690345E-2</v>
      </c>
      <c r="K7" s="531" t="s">
        <v>1931</v>
      </c>
      <c r="L7" s="513"/>
      <c r="M7" s="526"/>
      <c r="N7" s="513"/>
      <c r="AF7" s="551"/>
      <c r="AG7" s="551"/>
      <c r="AH7" s="551"/>
      <c r="AI7" s="551"/>
    </row>
    <row r="8" spans="1:35" x14ac:dyDescent="0.25">
      <c r="A8" s="513"/>
      <c r="B8" s="513"/>
      <c r="C8" s="519" t="s">
        <v>1943</v>
      </c>
      <c r="D8" s="520" t="s">
        <v>1944</v>
      </c>
      <c r="E8" s="521">
        <v>1.3069999999999999</v>
      </c>
      <c r="F8" s="522" t="s">
        <v>1945</v>
      </c>
      <c r="G8" s="513"/>
      <c r="H8" s="519" t="s">
        <v>1946</v>
      </c>
      <c r="I8" s="520" t="s">
        <v>1947</v>
      </c>
      <c r="J8" s="532">
        <f>E4/(1000*(E5^2*3.14)/4)</f>
        <v>0.80017421392985699</v>
      </c>
      <c r="K8" s="522" t="s">
        <v>1948</v>
      </c>
      <c r="L8" s="513"/>
      <c r="M8" s="533"/>
      <c r="N8" s="513"/>
      <c r="AF8" s="551"/>
      <c r="AG8" s="551"/>
      <c r="AH8" s="551"/>
      <c r="AI8" s="551"/>
    </row>
    <row r="9" spans="1:35" ht="15.75" thickBot="1" x14ac:dyDescent="0.3">
      <c r="A9" s="513"/>
      <c r="B9" s="513"/>
      <c r="C9" s="534" t="s">
        <v>1949</v>
      </c>
      <c r="D9" s="535" t="s">
        <v>1950</v>
      </c>
      <c r="E9" s="536">
        <v>9.81</v>
      </c>
      <c r="F9" s="537" t="s">
        <v>1951</v>
      </c>
      <c r="G9" s="513"/>
      <c r="H9" s="534" t="s">
        <v>1952</v>
      </c>
      <c r="I9" s="535" t="s">
        <v>1953</v>
      </c>
      <c r="J9" s="538">
        <f>$J$7*($E$6*$J$8^2)/($E$5*2*$E$9)</f>
        <v>0.2554293366593694</v>
      </c>
      <c r="K9" s="537" t="s">
        <v>1934</v>
      </c>
      <c r="L9" s="513"/>
      <c r="M9" s="533"/>
      <c r="N9" s="513"/>
      <c r="AF9" s="551"/>
      <c r="AG9" s="551"/>
      <c r="AH9" s="551"/>
      <c r="AI9" s="551"/>
    </row>
    <row r="10" spans="1:35" x14ac:dyDescent="0.25">
      <c r="A10" s="513"/>
      <c r="B10" s="513"/>
      <c r="C10" s="513"/>
      <c r="D10" s="539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AF10" s="551"/>
      <c r="AG10" s="551"/>
      <c r="AH10" s="551"/>
      <c r="AI10" s="551"/>
    </row>
    <row r="11" spans="1:35" x14ac:dyDescent="0.25">
      <c r="A11" s="513"/>
      <c r="B11" s="513"/>
      <c r="C11" s="513"/>
      <c r="D11" s="513"/>
      <c r="E11" s="540"/>
      <c r="F11" s="513"/>
      <c r="G11" s="513"/>
      <c r="H11" s="513"/>
      <c r="I11" s="513"/>
      <c r="J11" s="513"/>
      <c r="K11" s="513"/>
      <c r="L11" s="513"/>
      <c r="M11" s="513"/>
      <c r="N11" s="513"/>
      <c r="AF11" s="551"/>
      <c r="AG11" s="551"/>
      <c r="AH11" s="551"/>
      <c r="AI11" s="551"/>
    </row>
    <row r="12" spans="1:35" ht="30" x14ac:dyDescent="0.25">
      <c r="A12" s="513"/>
      <c r="B12" s="513"/>
      <c r="C12" s="541" t="s">
        <v>1954</v>
      </c>
      <c r="D12" s="693" t="s">
        <v>1955</v>
      </c>
      <c r="E12" s="694"/>
      <c r="F12" s="694"/>
      <c r="G12" s="513"/>
      <c r="H12" s="541" t="s">
        <v>1956</v>
      </c>
      <c r="I12" s="693" t="s">
        <v>1957</v>
      </c>
      <c r="J12" s="695"/>
      <c r="K12" s="695"/>
      <c r="L12" s="695"/>
      <c r="M12" s="541" t="s">
        <v>1958</v>
      </c>
      <c r="N12" s="513"/>
      <c r="AF12" s="551"/>
      <c r="AG12" s="551"/>
      <c r="AH12" s="551"/>
      <c r="AI12" s="551"/>
    </row>
    <row r="13" spans="1:35" x14ac:dyDescent="0.25">
      <c r="A13" s="513"/>
      <c r="B13" s="513"/>
      <c r="C13" s="542">
        <v>0</v>
      </c>
      <c r="D13" s="692">
        <v>1.7929999999999999</v>
      </c>
      <c r="E13" s="690"/>
      <c r="F13" s="690"/>
      <c r="G13" s="513"/>
      <c r="H13" s="543" t="s">
        <v>1959</v>
      </c>
      <c r="I13" s="692" t="s">
        <v>1960</v>
      </c>
      <c r="J13" s="691"/>
      <c r="K13" s="691"/>
      <c r="L13" s="691"/>
      <c r="M13" s="542">
        <v>2</v>
      </c>
      <c r="N13" s="513"/>
      <c r="AF13" s="551"/>
      <c r="AG13" s="551"/>
      <c r="AH13" s="551"/>
      <c r="AI13" s="551"/>
    </row>
    <row r="14" spans="1:35" x14ac:dyDescent="0.25">
      <c r="A14" s="513"/>
      <c r="B14" s="513"/>
      <c r="C14" s="544">
        <v>10</v>
      </c>
      <c r="D14" s="689">
        <v>1.3069999999999999</v>
      </c>
      <c r="E14" s="690"/>
      <c r="F14" s="690"/>
      <c r="G14" s="513"/>
      <c r="H14" s="545" t="s">
        <v>1961</v>
      </c>
      <c r="I14" s="689" t="s">
        <v>1962</v>
      </c>
      <c r="J14" s="691"/>
      <c r="K14" s="691"/>
      <c r="L14" s="691"/>
      <c r="M14" s="544">
        <v>0.1</v>
      </c>
      <c r="N14" s="513"/>
      <c r="AF14" s="551"/>
      <c r="AG14" s="551"/>
      <c r="AH14" s="551"/>
      <c r="AI14" s="551"/>
    </row>
    <row r="15" spans="1:35" x14ac:dyDescent="0.25">
      <c r="A15" s="513"/>
      <c r="B15" s="513"/>
      <c r="C15" s="542">
        <v>20</v>
      </c>
      <c r="D15" s="692">
        <v>1.004</v>
      </c>
      <c r="E15" s="690"/>
      <c r="F15" s="690"/>
      <c r="G15" s="513"/>
      <c r="H15" s="543" t="s">
        <v>1963</v>
      </c>
      <c r="I15" s="692" t="s">
        <v>1964</v>
      </c>
      <c r="J15" s="691"/>
      <c r="K15" s="691"/>
      <c r="L15" s="691"/>
      <c r="M15" s="542">
        <v>0.3</v>
      </c>
      <c r="N15" s="513"/>
      <c r="AF15" s="551"/>
      <c r="AG15" s="551"/>
      <c r="AH15" s="551"/>
      <c r="AI15" s="551"/>
    </row>
    <row r="16" spans="1:35" x14ac:dyDescent="0.25">
      <c r="A16" s="513"/>
      <c r="B16" s="513"/>
      <c r="C16" s="544">
        <v>30</v>
      </c>
      <c r="D16" s="689">
        <v>0.80100000000000005</v>
      </c>
      <c r="E16" s="690"/>
      <c r="F16" s="690"/>
      <c r="G16" s="513"/>
      <c r="H16" s="545" t="s">
        <v>1965</v>
      </c>
      <c r="I16" s="689" t="s">
        <v>1962</v>
      </c>
      <c r="J16" s="691"/>
      <c r="K16" s="691"/>
      <c r="L16" s="691"/>
      <c r="M16" s="544">
        <v>0.1</v>
      </c>
      <c r="N16" s="513"/>
      <c r="AF16" s="551"/>
      <c r="AG16" s="551"/>
      <c r="AH16" s="551"/>
      <c r="AI16" s="551"/>
    </row>
    <row r="17" spans="1:35" ht="28.5" x14ac:dyDescent="0.25">
      <c r="A17" s="513"/>
      <c r="B17" s="513"/>
      <c r="C17" s="542">
        <v>40</v>
      </c>
      <c r="D17" s="692">
        <v>0.65800000000000003</v>
      </c>
      <c r="E17" s="690"/>
      <c r="F17" s="690"/>
      <c r="G17" s="513"/>
      <c r="H17" s="543" t="s">
        <v>1966</v>
      </c>
      <c r="I17" s="692" t="s">
        <v>1967</v>
      </c>
      <c r="J17" s="691"/>
      <c r="K17" s="691"/>
      <c r="L17" s="691"/>
      <c r="M17" s="542">
        <v>0.1</v>
      </c>
      <c r="N17" s="513"/>
      <c r="AF17" s="551"/>
      <c r="AG17" s="551"/>
      <c r="AH17" s="551"/>
      <c r="AI17" s="551"/>
    </row>
    <row r="18" spans="1:35" x14ac:dyDescent="0.25">
      <c r="A18" s="513"/>
      <c r="B18" s="513"/>
      <c r="C18" s="544">
        <v>50</v>
      </c>
      <c r="D18" s="689">
        <v>0.55400000000000005</v>
      </c>
      <c r="E18" s="690"/>
      <c r="F18" s="690"/>
      <c r="G18" s="546"/>
      <c r="H18" s="545" t="s">
        <v>1968</v>
      </c>
      <c r="I18" s="689" t="s">
        <v>1962</v>
      </c>
      <c r="J18" s="691"/>
      <c r="K18" s="691"/>
      <c r="L18" s="691"/>
      <c r="M18" s="544">
        <v>0.1</v>
      </c>
      <c r="N18" s="513"/>
      <c r="AF18" s="551"/>
      <c r="AG18" s="551"/>
      <c r="AH18" s="551"/>
      <c r="AI18" s="551"/>
    </row>
    <row r="19" spans="1:35" x14ac:dyDescent="0.25">
      <c r="A19" s="513"/>
      <c r="B19" s="513"/>
      <c r="C19" s="542">
        <v>60</v>
      </c>
      <c r="D19" s="692">
        <v>0.47499999999999998</v>
      </c>
      <c r="E19" s="690"/>
      <c r="F19" s="690"/>
      <c r="G19" s="513"/>
      <c r="H19" s="543" t="s">
        <v>1969</v>
      </c>
      <c r="I19" s="692" t="s">
        <v>1962</v>
      </c>
      <c r="J19" s="691"/>
      <c r="K19" s="691"/>
      <c r="L19" s="691"/>
      <c r="M19" s="542">
        <v>0.1</v>
      </c>
      <c r="N19" s="513"/>
      <c r="AF19" s="551"/>
      <c r="AG19" s="551"/>
      <c r="AH19" s="551"/>
      <c r="AI19" s="551"/>
    </row>
    <row r="20" spans="1:35" x14ac:dyDescent="0.25">
      <c r="A20" s="513"/>
      <c r="B20" s="513"/>
      <c r="C20" s="544">
        <v>70</v>
      </c>
      <c r="D20" s="689">
        <v>0.41299999999999998</v>
      </c>
      <c r="E20" s="690"/>
      <c r="F20" s="690"/>
      <c r="G20" s="513"/>
      <c r="H20" s="545" t="s">
        <v>1970</v>
      </c>
      <c r="I20" s="689" t="s">
        <v>1967</v>
      </c>
      <c r="J20" s="691"/>
      <c r="K20" s="691"/>
      <c r="L20" s="691"/>
      <c r="M20" s="544">
        <v>0.1</v>
      </c>
      <c r="N20" s="513"/>
      <c r="AF20" s="551"/>
      <c r="AG20" s="551"/>
      <c r="AH20" s="551"/>
      <c r="AI20" s="551"/>
    </row>
    <row r="21" spans="1:35" x14ac:dyDescent="0.25">
      <c r="A21" s="513"/>
      <c r="B21" s="513"/>
      <c r="C21" s="542">
        <v>80</v>
      </c>
      <c r="D21" s="692">
        <v>0.36499999999999999</v>
      </c>
      <c r="E21" s="690"/>
      <c r="F21" s="690"/>
      <c r="G21" s="513"/>
      <c r="H21" s="547" t="s">
        <v>1971</v>
      </c>
      <c r="I21" s="548"/>
      <c r="J21" s="548"/>
      <c r="K21" s="548"/>
      <c r="L21" s="548"/>
      <c r="M21" s="548"/>
      <c r="N21" s="513"/>
      <c r="AF21" s="551"/>
      <c r="AG21" s="551"/>
      <c r="AH21" s="551"/>
      <c r="AI21" s="551"/>
    </row>
    <row r="22" spans="1:35" x14ac:dyDescent="0.25">
      <c r="A22" s="513"/>
      <c r="B22" s="513"/>
      <c r="C22" s="544">
        <v>90</v>
      </c>
      <c r="D22" s="689">
        <v>0.32600000000000001</v>
      </c>
      <c r="E22" s="690"/>
      <c r="F22" s="690"/>
      <c r="G22" s="513"/>
      <c r="H22" s="513"/>
      <c r="I22" s="513"/>
      <c r="J22" s="513"/>
      <c r="K22" s="513"/>
      <c r="L22" s="513"/>
      <c r="M22" s="513"/>
      <c r="N22" s="513"/>
      <c r="AF22" s="551"/>
      <c r="AG22" s="551"/>
      <c r="AH22" s="551"/>
      <c r="AI22" s="551"/>
    </row>
    <row r="23" spans="1:35" x14ac:dyDescent="0.25">
      <c r="A23" s="513"/>
      <c r="B23" s="513"/>
      <c r="C23" s="549" t="s">
        <v>1972</v>
      </c>
      <c r="D23" s="513"/>
      <c r="E23" s="513"/>
      <c r="F23" s="513"/>
      <c r="G23" s="513"/>
      <c r="H23" s="513"/>
      <c r="I23" s="513"/>
      <c r="J23" s="513"/>
      <c r="K23" s="513"/>
      <c r="L23" s="513"/>
      <c r="M23" s="513"/>
      <c r="N23" s="513"/>
      <c r="AF23" s="551"/>
      <c r="AG23" s="551"/>
      <c r="AH23" s="551"/>
      <c r="AI23" s="551"/>
    </row>
    <row r="24" spans="1:35" x14ac:dyDescent="0.25">
      <c r="A24" s="513"/>
      <c r="B24" s="513"/>
      <c r="C24" s="513"/>
      <c r="D24" s="513"/>
      <c r="E24" s="513"/>
      <c r="F24" s="513"/>
      <c r="G24" s="513"/>
      <c r="H24" s="513"/>
      <c r="I24" s="513"/>
      <c r="J24" s="513"/>
      <c r="K24" s="513"/>
      <c r="L24" s="513"/>
      <c r="M24" s="513"/>
      <c r="N24" s="513"/>
      <c r="AF24" s="551"/>
      <c r="AG24" s="551"/>
      <c r="AH24" s="551"/>
      <c r="AI24" s="551"/>
    </row>
    <row r="25" spans="1:35" x14ac:dyDescent="0.25">
      <c r="A25" s="513"/>
      <c r="B25" s="513"/>
      <c r="C25" s="514" t="s">
        <v>1973</v>
      </c>
      <c r="D25" s="513"/>
      <c r="E25" s="513"/>
      <c r="F25" s="513"/>
      <c r="G25" s="513"/>
      <c r="H25" s="513"/>
      <c r="I25" s="513"/>
      <c r="J25" s="513"/>
      <c r="K25" s="513"/>
      <c r="L25" s="513"/>
      <c r="M25" s="513"/>
      <c r="N25" s="513"/>
      <c r="AF25" s="551"/>
      <c r="AG25" s="551"/>
      <c r="AH25" s="551"/>
      <c r="AI25" s="551"/>
    </row>
    <row r="26" spans="1:35" x14ac:dyDescent="0.25">
      <c r="A26" s="513"/>
      <c r="B26" s="513"/>
      <c r="C26" s="513"/>
      <c r="D26" s="513"/>
      <c r="E26" s="513"/>
      <c r="F26" s="513"/>
      <c r="G26" s="513"/>
      <c r="H26" s="513"/>
      <c r="I26" s="513"/>
      <c r="J26" s="513"/>
      <c r="K26" s="513"/>
      <c r="L26" s="513"/>
      <c r="M26" s="513"/>
      <c r="N26" s="513"/>
      <c r="AF26" s="551"/>
      <c r="AG26" s="551"/>
      <c r="AH26" s="551"/>
      <c r="AI26" s="551"/>
    </row>
    <row r="27" spans="1:35" x14ac:dyDescent="0.25">
      <c r="A27" s="513"/>
      <c r="B27" s="513"/>
      <c r="C27" s="513"/>
      <c r="D27" s="513"/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AF27" s="551"/>
      <c r="AG27" s="551"/>
      <c r="AH27" s="551"/>
      <c r="AI27" s="551"/>
    </row>
    <row r="28" spans="1:35" x14ac:dyDescent="0.25">
      <c r="A28" s="513" t="s">
        <v>1987</v>
      </c>
      <c r="B28" s="513"/>
      <c r="C28" s="513"/>
      <c r="D28" s="513"/>
      <c r="E28" s="513"/>
      <c r="F28" s="513"/>
      <c r="G28" s="513"/>
      <c r="H28" s="513"/>
      <c r="I28" s="513"/>
      <c r="J28" s="513"/>
      <c r="K28" s="513"/>
      <c r="L28" s="513"/>
      <c r="M28" s="513"/>
      <c r="N28" s="513"/>
      <c r="AF28" s="551"/>
      <c r="AG28" s="551"/>
      <c r="AH28" s="551"/>
      <c r="AI28" s="551"/>
    </row>
    <row r="29" spans="1:35" x14ac:dyDescent="0.25">
      <c r="A29" s="513"/>
      <c r="B29" s="513" t="s">
        <v>1988</v>
      </c>
      <c r="C29" s="513"/>
      <c r="D29" s="513"/>
      <c r="E29" s="513"/>
      <c r="F29" s="513"/>
      <c r="G29" s="513"/>
      <c r="H29" s="513"/>
      <c r="I29" s="513"/>
      <c r="J29" s="513"/>
      <c r="K29" s="513"/>
      <c r="L29" s="513"/>
      <c r="M29" s="513"/>
      <c r="N29" s="513"/>
      <c r="AF29" s="551"/>
      <c r="AG29" s="551"/>
      <c r="AH29" s="551"/>
      <c r="AI29" s="551"/>
    </row>
    <row r="30" spans="1:35" x14ac:dyDescent="0.25">
      <c r="A30" s="513"/>
      <c r="B30" s="513" t="s">
        <v>1989</v>
      </c>
      <c r="C30" s="513"/>
      <c r="D30" s="513"/>
      <c r="E30" s="513"/>
      <c r="F30" s="513"/>
      <c r="G30" s="513"/>
      <c r="H30" s="513"/>
      <c r="I30" s="513"/>
      <c r="J30" s="513"/>
      <c r="K30" s="513"/>
      <c r="L30" s="513"/>
      <c r="M30" s="513"/>
      <c r="N30" s="513"/>
      <c r="AF30" s="551"/>
      <c r="AG30" s="551"/>
      <c r="AH30" s="551"/>
      <c r="AI30" s="551"/>
    </row>
    <row r="31" spans="1:35" x14ac:dyDescent="0.25">
      <c r="B31" t="s">
        <v>1990</v>
      </c>
      <c r="AF31" s="551"/>
      <c r="AG31" s="551"/>
      <c r="AH31" s="551"/>
      <c r="AI31" s="551"/>
    </row>
    <row r="32" spans="1:35" x14ac:dyDescent="0.25">
      <c r="B32" s="559" t="s">
        <v>1991</v>
      </c>
      <c r="AF32" s="551"/>
      <c r="AG32" s="551"/>
      <c r="AH32" s="551"/>
      <c r="AI32" s="551"/>
    </row>
    <row r="33" spans="2:35" x14ac:dyDescent="0.25">
      <c r="B33" s="559" t="s">
        <v>1992</v>
      </c>
      <c r="AF33" s="551"/>
      <c r="AG33" s="551"/>
      <c r="AH33" s="551"/>
      <c r="AI33" s="551"/>
    </row>
    <row r="34" spans="2:35" x14ac:dyDescent="0.25">
      <c r="B34" s="559" t="s">
        <v>1993</v>
      </c>
      <c r="AF34" s="551"/>
      <c r="AG34" s="551"/>
      <c r="AH34" s="551"/>
      <c r="AI34" s="551"/>
    </row>
    <row r="35" spans="2:35" x14ac:dyDescent="0.25">
      <c r="AF35" s="551"/>
      <c r="AG35" s="551"/>
      <c r="AH35" s="551"/>
      <c r="AI35" s="551"/>
    </row>
  </sheetData>
  <mergeCells count="20">
    <mergeCell ref="D12:F12"/>
    <mergeCell ref="I12:L12"/>
    <mergeCell ref="D13:F13"/>
    <mergeCell ref="I13:L13"/>
    <mergeCell ref="D20:F20"/>
    <mergeCell ref="I20:L20"/>
    <mergeCell ref="D14:F14"/>
    <mergeCell ref="I14:L14"/>
    <mergeCell ref="D15:F15"/>
    <mergeCell ref="I15:L15"/>
    <mergeCell ref="D16:F16"/>
    <mergeCell ref="I16:L16"/>
    <mergeCell ref="D21:F21"/>
    <mergeCell ref="D22:F22"/>
    <mergeCell ref="D17:F17"/>
    <mergeCell ref="I17:L17"/>
    <mergeCell ref="D18:F18"/>
    <mergeCell ref="I18:L18"/>
    <mergeCell ref="D19:F19"/>
    <mergeCell ref="I19:L1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115"/>
  <sheetViews>
    <sheetView showGridLines="0" view="pageLayout" topLeftCell="A4" zoomScale="115" zoomScaleNormal="85" zoomScaleSheetLayoutView="100" zoomScalePageLayoutView="115" workbookViewId="0">
      <selection activeCell="E29" sqref="E29"/>
    </sheetView>
  </sheetViews>
  <sheetFormatPr baseColWidth="10" defaultRowHeight="15" x14ac:dyDescent="0.25"/>
  <cols>
    <col min="1" max="1" width="0.42578125" customWidth="1"/>
    <col min="2" max="2" width="3.140625" customWidth="1"/>
    <col min="3" max="3" width="1" customWidth="1"/>
    <col min="4" max="4" width="15.42578125" customWidth="1"/>
    <col min="5" max="5" width="10" customWidth="1"/>
    <col min="6" max="6" width="12.85546875" customWidth="1"/>
    <col min="8" max="8" width="1.28515625" customWidth="1"/>
    <col min="9" max="9" width="1.5703125" customWidth="1"/>
    <col min="10" max="10" width="15.42578125" customWidth="1"/>
    <col min="11" max="11" width="8.85546875" customWidth="1"/>
    <col min="12" max="12" width="16.140625" customWidth="1"/>
    <col min="13" max="13" width="13.5703125" customWidth="1"/>
    <col min="14" max="14" width="0.42578125" customWidth="1"/>
  </cols>
  <sheetData>
    <row r="1" spans="2:14" ht="15.75" thickBot="1" x14ac:dyDescent="0.3"/>
    <row r="2" spans="2:14" ht="15.75" thickBot="1" x14ac:dyDescent="0.3">
      <c r="B2" s="335"/>
      <c r="C2" s="337"/>
      <c r="D2" s="337" t="str">
        <f>Sprachen!E262</f>
        <v>Configurare il pozzo in base alla richiesta</v>
      </c>
      <c r="E2" s="336"/>
      <c r="F2" s="336"/>
      <c r="G2" s="336"/>
      <c r="H2" s="336"/>
      <c r="I2" s="336"/>
      <c r="J2" s="336"/>
      <c r="K2" s="336"/>
      <c r="L2" s="336"/>
      <c r="M2" s="336"/>
      <c r="N2" s="339"/>
    </row>
    <row r="3" spans="2:14" ht="6" customHeight="1" thickBot="1" x14ac:dyDescent="0.3">
      <c r="B3" s="347"/>
      <c r="C3" s="329"/>
    </row>
    <row r="4" spans="2:14" ht="29.25" thickBot="1" x14ac:dyDescent="0.5">
      <c r="B4" s="417" t="e">
        <f>Tabelle2!$AM$55</f>
        <v>#VALUE!</v>
      </c>
      <c r="C4" s="425"/>
      <c r="D4" s="427" t="str">
        <f>Schachtselector!C189</f>
        <v xml:space="preserve"> FPS DN 1000</v>
      </c>
      <c r="E4" s="428"/>
      <c r="F4" s="429"/>
      <c r="G4" s="454"/>
      <c r="H4" s="484"/>
      <c r="I4" s="512" t="e">
        <f>IF(OR(Linkauswahl!B58=TRUE,Linkauswahl!B59=TRUE),"",IF(Linkauswahl!B52=TRUE,Sprachen!E338,IF(AND(Schachtselector!E180=0,Linkauswahl!B51=TRUE),"",Sprachen!E332)))</f>
        <v>#VALUE!</v>
      </c>
    </row>
    <row r="5" spans="2:14" x14ac:dyDescent="0.25">
      <c r="B5" s="347"/>
      <c r="C5" s="329"/>
      <c r="D5" s="448" t="str">
        <f>Sprachen!E263</f>
        <v xml:space="preserve">Tipo di pozzo selezionato: </v>
      </c>
      <c r="E5" s="449"/>
      <c r="F5" s="448" t="str">
        <f>Sprachen!E264</f>
        <v>File CAD</v>
      </c>
      <c r="G5" s="2"/>
      <c r="J5" s="448" t="str">
        <f>Sprachen!E265</f>
        <v>N. articolo:</v>
      </c>
      <c r="K5" s="450"/>
      <c r="L5" s="2"/>
    </row>
    <row r="6" spans="2:14" ht="15.75" thickBot="1" x14ac:dyDescent="0.3">
      <c r="B6" s="347"/>
      <c r="C6" s="17"/>
      <c r="D6" s="452" t="str">
        <f>Linkauswahl!H59</f>
        <v>Nicht vorhanden</v>
      </c>
      <c r="E6" s="453"/>
      <c r="F6" s="467" t="str">
        <f>Linkauswahl!N61</f>
        <v/>
      </c>
      <c r="G6" s="4"/>
      <c r="J6" s="451" t="str">
        <f>Linkauswahl!$L$61</f>
        <v>non disponibile</v>
      </c>
      <c r="K6" s="48"/>
      <c r="L6" s="6"/>
    </row>
    <row r="7" spans="2:14" ht="15.75" thickBot="1" x14ac:dyDescent="0.3">
      <c r="B7" s="347"/>
      <c r="D7" s="619" t="str">
        <f>HYPERLINK(Linkauswahl!M61&amp;".DWG")</f>
        <v>.DWG</v>
      </c>
      <c r="E7" s="620"/>
      <c r="F7" s="621" t="str">
        <f>IF(D7=".DWG",Sprachen!E336,"DWG")</f>
        <v>Nessun disegno disponibile</v>
      </c>
      <c r="G7" s="622"/>
      <c r="H7" s="7"/>
      <c r="J7" s="7" t="str">
        <f>Sprachen!E269</f>
        <v>(OKD) Bordo sup. coperchio</v>
      </c>
      <c r="L7" s="7" t="e">
        <f>(Sprachen!E271&amp;Linkauswahl!I58)</f>
        <v>#VALUE!</v>
      </c>
    </row>
    <row r="8" spans="2:14" ht="15.75" thickBot="1" x14ac:dyDescent="0.3">
      <c r="B8" s="347"/>
      <c r="D8" s="623"/>
      <c r="E8" s="624"/>
      <c r="F8" s="625"/>
      <c r="G8" s="626"/>
      <c r="J8" s="7" t="str">
        <f>Sprachen!E270</f>
        <v>(UKD) Bordo inf. coperchio</v>
      </c>
      <c r="L8" s="7" t="e">
        <f>(Sprachen!E271&amp;Tabelle3!$N$23)</f>
        <v>#VALUE!</v>
      </c>
    </row>
    <row r="9" spans="2:14" x14ac:dyDescent="0.25">
      <c r="B9" s="347"/>
      <c r="D9" t="str">
        <f>IF(OR(Linkauswahl!B55=TRUE,Linkauswahl!B56=TRUE,Linkauswahl!B57=TRUE),Sprachen!E335,"")</f>
        <v/>
      </c>
    </row>
    <row r="10" spans="2:14" ht="15.75" x14ac:dyDescent="0.25">
      <c r="B10" s="347"/>
      <c r="D10" s="399" t="b">
        <f>IF(Kollision!R4=TRUE,Sprachen!E272,IF(Kollision!R5=TRUE,Sprachen!E273&amp;Kollision!R6))</f>
        <v>0</v>
      </c>
      <c r="I10" s="465" t="str">
        <f>IF(AND(Kollision!R14=TRUE,Kollision!R5=TRUE,Kollision!B7=TRUE,Kollision!R7=TRUE),Sprachen!E274,IF(Kollision!R5=TRUE,Sprachen!E275,""))</f>
        <v/>
      </c>
      <c r="K10" s="9"/>
      <c r="L10" s="9"/>
      <c r="M10" s="9"/>
    </row>
    <row r="11" spans="2:14" x14ac:dyDescent="0.25">
      <c r="B11" s="347"/>
      <c r="D11" s="464" t="str">
        <f>Sprachen!E276</f>
        <v>Tutte le misure dal bordo superiore coperchio in mm</v>
      </c>
      <c r="E11" s="464"/>
      <c r="F11" s="637"/>
      <c r="I11" s="498" t="str">
        <f>IF(AND(Kollision!R14=TRUE,Kollision!R5=TRUE,Kollision!B7=TRUE),"",IF(Kollision!R5=TRUE,Sprachen!E277,""))</f>
        <v/>
      </c>
      <c r="K11" s="9"/>
      <c r="L11" s="9"/>
      <c r="M11" s="9"/>
    </row>
    <row r="12" spans="2:14" x14ac:dyDescent="0.25">
      <c r="B12" s="347"/>
      <c r="D12" s="494" t="str">
        <f>IF(AND(Kollision!R7=TRUE,Kollision!R5=TRUE),Sprachen!E278,Sprachen!E279)</f>
        <v>Cond. di mandata</v>
      </c>
      <c r="E12" s="214"/>
      <c r="F12" s="506" t="str">
        <f>Sprachen!$E$213&amp;":"</f>
        <v>quotatura piano :</v>
      </c>
      <c r="G12" s="605" t="e">
        <f>IF(E14="","",Tabelle3!$BI$4-(Schachtanfrage!E14/1000))&amp;(Sprachen!E341)</f>
        <v>#VALUE!</v>
      </c>
      <c r="J12" s="510" t="str">
        <f>IF(AND(Kollision!R14=TRUE,Kollision!R5=TRUE,Kollision!B7=TRUE),"",IF(AND(Kollision!R7=TRUE,Kollision!R5=TRUE),Sprachen!E285,""))</f>
        <v/>
      </c>
      <c r="K12" s="214"/>
      <c r="L12" s="61"/>
      <c r="M12" s="38"/>
    </row>
    <row r="13" spans="2:14" x14ac:dyDescent="0.25">
      <c r="B13" s="347"/>
      <c r="D13" s="490" t="str">
        <f>IF(Kollision!R7=TRUE,Sprachen!E281,Sprachen!E280)</f>
        <v>Posizione in °:</v>
      </c>
      <c r="E13" s="640">
        <v>0</v>
      </c>
      <c r="F13" s="207" t="str">
        <f>IF(K13="","",Kollision!P6)</f>
        <v/>
      </c>
      <c r="G13" s="495"/>
      <c r="J13" s="499" t="str">
        <f>IF(AND(Kollision!R14=TRUE,Kollision!R5=TRUE,Kollision!B7=TRUE),"",IF(AND(Kollision!R7=TRUE,Kollision!R5=TRUE),Sprachen!E286,""))</f>
        <v/>
      </c>
      <c r="K13" s="508" t="str">
        <f>IF(AND(Kollision!R14=TRUE,Kollision!R5=TRUE,Kollision!B7=TRUE),"",IF(AND(Kollision!R7=TRUE,Kollision!R5=TRUE),Kollision!Q6,""))</f>
        <v/>
      </c>
      <c r="L13" s="9"/>
      <c r="M13" s="63"/>
    </row>
    <row r="14" spans="2:14" ht="14.25" customHeight="1" x14ac:dyDescent="0.25">
      <c r="B14" s="347"/>
      <c r="D14" s="490" t="str">
        <f>Sprachen!E291</f>
        <v xml:space="preserve">Alt. del fondo mm: </v>
      </c>
      <c r="E14" s="641" t="e">
        <f>Tabelle3!AE5</f>
        <v>#VALUE!</v>
      </c>
      <c r="F14" s="9"/>
      <c r="G14" s="63"/>
      <c r="J14" s="499" t="str">
        <f>IF(AND(Kollision!R14=TRUE,Kollision!R5=TRUE,Kollision!B7=TRUE),"",IF(AND(Kollision!R7=TRUE,Kollision!R5=TRUE),Sprachen!E287,""))</f>
        <v/>
      </c>
      <c r="K14" s="508" t="str">
        <f>IF(AND(Kollision!R14=TRUE,Kollision!R5=TRUE,Kollision!B7=TRUE),"",IF(AND(Kollision!R7=TRUE,Kollision!R5=TRUE),Tabelle3!M56-Tabelle3!AD8,""))</f>
        <v/>
      </c>
      <c r="L14" s="9"/>
      <c r="M14" s="63"/>
    </row>
    <row r="15" spans="2:14" x14ac:dyDescent="0.25">
      <c r="B15" s="347"/>
      <c r="D15" s="491" t="str">
        <f>Sprachen!E292</f>
        <v>Ø-esterno in mm:</v>
      </c>
      <c r="E15" s="640" t="e">
        <f>Linkauswahl!$G$96</f>
        <v>#N/A</v>
      </c>
      <c r="F15" s="66"/>
      <c r="G15" s="497"/>
      <c r="J15" s="500" t="str">
        <f>IF(AND(Kollision!R14=TRUE,Kollision!R5=TRUE,Kollision!B7=TRUE),"",IF(AND(Kollision!R7=TRUE,Kollision!R5=TRUE),Sprachen!E288,""))</f>
        <v/>
      </c>
      <c r="K15" s="509" t="str">
        <f>IF(AND(Kollision!R14=TRUE,Kollision!R5=TRUE,Kollision!B7=TRUE),"",IF(AND(Kollision!R7=TRUE,Kollision!R5=TRUE),Linkauswahl!$G$96,""))</f>
        <v/>
      </c>
      <c r="L15" s="66"/>
      <c r="M15" s="67"/>
    </row>
    <row r="16" spans="2:14" ht="6.75" customHeight="1" x14ac:dyDescent="0.25">
      <c r="B16" s="347"/>
      <c r="D16" s="9"/>
      <c r="E16" s="207"/>
      <c r="F16" s="9"/>
      <c r="G16" s="9"/>
      <c r="H16" s="9"/>
      <c r="I16" s="207"/>
      <c r="J16" s="207"/>
      <c r="K16" s="17"/>
    </row>
    <row r="17" spans="2:14" x14ac:dyDescent="0.25">
      <c r="B17" s="347"/>
      <c r="D17" t="s">
        <v>272</v>
      </c>
      <c r="E17" s="610"/>
      <c r="F17" s="611"/>
      <c r="G17" s="611"/>
      <c r="H17" s="611"/>
      <c r="I17" s="611"/>
      <c r="J17" s="611"/>
      <c r="K17" s="611"/>
      <c r="L17" s="611"/>
      <c r="M17" s="611"/>
      <c r="N17" s="612"/>
    </row>
    <row r="18" spans="2:14" ht="5.25" customHeight="1" thickBot="1" x14ac:dyDescent="0.3">
      <c r="B18" s="347"/>
      <c r="J18" s="55"/>
      <c r="K18" s="388"/>
      <c r="L18" s="391"/>
    </row>
    <row r="19" spans="2:14" x14ac:dyDescent="0.25">
      <c r="B19" s="347"/>
      <c r="D19" s="492" t="str">
        <f>Sprachen!E289</f>
        <v xml:space="preserve">Guaina per cavi elettrici      </v>
      </c>
      <c r="E19" s="441"/>
      <c r="F19" s="506" t="str">
        <f>Sprachen!$E$213&amp;":"</f>
        <v>quotatura piano :</v>
      </c>
      <c r="G19" s="507" t="str">
        <f>Tabelle3!$BI$4-(Schachtanfrage!E21/1000)&amp;(Sprachen!E341)</f>
        <v>0 m.s.l.m.</v>
      </c>
      <c r="J19" s="393" t="str">
        <f>IF(ISERROR(Kollision!W19),"",Kollision!W19)</f>
        <v/>
      </c>
      <c r="K19" s="394"/>
      <c r="L19" s="394"/>
      <c r="M19" s="104"/>
    </row>
    <row r="20" spans="2:14" x14ac:dyDescent="0.25">
      <c r="B20" s="347"/>
      <c r="D20" s="490" t="str">
        <f>Sprachen!E280</f>
        <v>Posizione in °:</v>
      </c>
      <c r="E20" s="608"/>
      <c r="F20" s="9"/>
      <c r="G20" s="63"/>
      <c r="J20" s="395" t="str">
        <f>IF(ISERROR(Kollision!W20),"",Kollision!W20)</f>
        <v/>
      </c>
      <c r="K20" s="98"/>
      <c r="L20" s="98"/>
      <c r="M20" s="105"/>
    </row>
    <row r="21" spans="2:14" x14ac:dyDescent="0.25">
      <c r="B21" s="347"/>
      <c r="D21" s="490" t="str">
        <f>Sprachen!E291</f>
        <v xml:space="preserve">Alt. del fondo mm: </v>
      </c>
      <c r="E21" s="608"/>
      <c r="F21" s="424" t="str">
        <f>IF(E21&lt;0.001,"",IF(Schachtanfrage!E21&lt;Kollision!$R$11,"EL Rohr  zu hoch",""))</f>
        <v/>
      </c>
      <c r="G21" s="63"/>
      <c r="J21" s="395" t="str">
        <f>IF(ISERROR(Kollision!W21),"",Kollision!W21)</f>
        <v/>
      </c>
      <c r="K21" s="98"/>
      <c r="L21" s="98"/>
      <c r="M21" s="105"/>
    </row>
    <row r="22" spans="2:14" ht="13.5" customHeight="1" x14ac:dyDescent="0.25">
      <c r="B22" s="347"/>
      <c r="D22" s="490" t="str">
        <f>Sprachen!E283</f>
        <v>Diam esterno mm:</v>
      </c>
      <c r="E22" s="639" t="e">
        <f>Linkauswahl!I99</f>
        <v>#N/A</v>
      </c>
      <c r="F22" s="9"/>
      <c r="G22" s="63"/>
      <c r="J22" s="395" t="str">
        <f>IF(ISERROR(Kollision!W22),"",Kollision!W22)</f>
        <v/>
      </c>
      <c r="K22" s="98"/>
      <c r="L22" s="98"/>
      <c r="M22" s="105"/>
    </row>
    <row r="23" spans="2:14" ht="15.75" thickBot="1" x14ac:dyDescent="0.3">
      <c r="B23" s="347"/>
      <c r="D23" s="491" t="str">
        <f>Sprachen!E293</f>
        <v xml:space="preserve">Misura min. </v>
      </c>
      <c r="E23" s="639">
        <f>Tabelle3!Z11</f>
        <v>400</v>
      </c>
      <c r="F23" s="66"/>
      <c r="G23" s="67"/>
      <c r="J23" s="511" t="str">
        <f>IF(Tabelle3!C7=TRUE,"",IF(OR(E20="",E21="",E28=""),"Bitte EL Rohr Positionieren",""))</f>
        <v>Bitte EL Rohr Positionieren</v>
      </c>
      <c r="K23" s="396"/>
      <c r="L23" s="396"/>
      <c r="M23" s="106"/>
    </row>
    <row r="24" spans="2:14" ht="6" customHeight="1" x14ac:dyDescent="0.25">
      <c r="B24" s="347"/>
      <c r="E24" s="388"/>
      <c r="J24" s="55"/>
      <c r="K24" s="388"/>
      <c r="L24" s="391"/>
    </row>
    <row r="25" spans="2:14" x14ac:dyDescent="0.25">
      <c r="B25" s="347"/>
      <c r="D25" s="502" t="str">
        <f>Sprachen!E296</f>
        <v>Zona privadi entrata:</v>
      </c>
      <c r="E25" s="154"/>
      <c r="F25" s="422" t="str">
        <f>Kollision!Q8&amp;" ° - "&amp;Kollision!P8&amp;" °"</f>
        <v>300 ° - 60 °</v>
      </c>
      <c r="G25" s="423"/>
      <c r="H25" s="408"/>
      <c r="J25" s="391"/>
      <c r="K25" s="55"/>
      <c r="L25" s="388"/>
    </row>
    <row r="26" spans="2:14" ht="7.5" customHeight="1" x14ac:dyDescent="0.25">
      <c r="B26" s="347"/>
      <c r="E26" s="388"/>
      <c r="K26" s="55"/>
      <c r="L26" s="388"/>
    </row>
    <row r="27" spans="2:14" x14ac:dyDescent="0.25">
      <c r="B27" s="347"/>
      <c r="D27" s="493" t="str">
        <f>Sprachen!E298</f>
        <v xml:space="preserve">Entrata 1  (entrata più bassa)   </v>
      </c>
      <c r="E27" s="61"/>
      <c r="F27" s="506" t="str">
        <f>Sprachen!$E$213&amp;":"</f>
        <v>quotatura piano :</v>
      </c>
      <c r="G27" s="605" t="str">
        <f>IF(E29="","",Tabelle3!$BI$4-(Schachtanfrage!E29/1000))&amp;(Sprachen!E341)</f>
        <v>0 m.s.l.m.</v>
      </c>
      <c r="H27" s="9"/>
      <c r="J27" s="493" t="str">
        <f>Sprachen!E308</f>
        <v>Entrata 5</v>
      </c>
      <c r="K27" s="61"/>
      <c r="L27" s="506" t="str">
        <f>IF(K29="","",Sprachen!$E$213&amp;":")</f>
        <v/>
      </c>
      <c r="M27" s="606" t="str">
        <f>IF(K29="","",Tabelle3!$BI$4-(Schachtanfrage!K29/1000)&amp;(Sprachen!E341))</f>
        <v/>
      </c>
    </row>
    <row r="28" spans="2:14" x14ac:dyDescent="0.25">
      <c r="B28" s="347"/>
      <c r="D28" s="490" t="str">
        <f>Sprachen!$E$290</f>
        <v>Posizione in °:</v>
      </c>
      <c r="E28" s="608"/>
      <c r="F28" s="466" t="str">
        <f>IF(E28&lt;0.001,"",IF(OR(E28&gt;Kollision!$Q$8,E28&lt;Kollision!$P$8),Sprachen!E299,""))</f>
        <v/>
      </c>
      <c r="G28" s="63"/>
      <c r="H28" s="9"/>
      <c r="J28" s="490" t="str">
        <f>Sprachen!$E$290</f>
        <v>Posizione in °:</v>
      </c>
      <c r="K28" s="608"/>
      <c r="L28" s="466" t="str">
        <f>IF(K28&lt;0.001,"",IF(OR(K28&gt;Kollision!$Q$8,K28&lt;Kollision!$P$8),Sprachen!E299,""))</f>
        <v/>
      </c>
      <c r="M28" s="63"/>
    </row>
    <row r="29" spans="2:14" x14ac:dyDescent="0.25">
      <c r="B29" s="347"/>
      <c r="D29" s="490" t="str">
        <f>Sprachen!$E$282</f>
        <v xml:space="preserve">Alt. del fondo mm: </v>
      </c>
      <c r="E29" s="638">
        <f>(Schachtselector!E182-Schachtselector!C186)*1000</f>
        <v>0</v>
      </c>
      <c r="F29" s="483"/>
      <c r="G29" s="504"/>
      <c r="H29" s="9"/>
      <c r="J29" s="490" t="str">
        <f>Sprachen!$E$282</f>
        <v xml:space="preserve">Alt. del fondo mm: </v>
      </c>
      <c r="K29" s="608"/>
      <c r="L29" s="483" t="str">
        <f>IF(K29&lt;0.001,"",IF(Schachtanfrage!K29&lt;Kollision!$R$11,Sprachen!E301,IF($E$29-K29&lt;0,Sprachen!E300,"")))</f>
        <v/>
      </c>
      <c r="M29" s="504"/>
    </row>
    <row r="30" spans="2:14" x14ac:dyDescent="0.25">
      <c r="B30" s="347"/>
      <c r="D30" s="491" t="str">
        <f>Sprachen!$E$292</f>
        <v>Ø-esterno in mm:</v>
      </c>
      <c r="E30" s="609"/>
      <c r="F30" s="496"/>
      <c r="G30" s="505"/>
      <c r="H30" s="9"/>
      <c r="J30" s="491" t="str">
        <f>Sprachen!$E$292</f>
        <v>Ø-esterno in mm:</v>
      </c>
      <c r="K30" s="608"/>
      <c r="L30" s="496"/>
      <c r="M30" s="505"/>
    </row>
    <row r="31" spans="2:14" ht="6.75" customHeight="1" x14ac:dyDescent="0.25">
      <c r="B31" s="347"/>
      <c r="E31" s="388"/>
      <c r="J31" s="192"/>
      <c r="K31" s="420"/>
      <c r="L31" s="192"/>
    </row>
    <row r="32" spans="2:14" x14ac:dyDescent="0.25">
      <c r="B32" s="347"/>
      <c r="D32" s="493" t="str">
        <f>Sprachen!E305</f>
        <v>Entrata 2</v>
      </c>
      <c r="E32" s="61"/>
      <c r="F32" s="506" t="str">
        <f>IF(E34="","",Sprachen!$E$213&amp;":")</f>
        <v/>
      </c>
      <c r="G32" s="606" t="str">
        <f>IF(E34="","",Tabelle3!$BI$4-(Schachtanfrage!E34/1000)&amp;(Sprachen!E341))</f>
        <v/>
      </c>
      <c r="H32" s="9"/>
      <c r="J32" s="493" t="str">
        <f>Sprachen!E309</f>
        <v>Entrata 6</v>
      </c>
      <c r="K32" s="61"/>
      <c r="L32" s="506" t="str">
        <f>IF(K34="","",Sprachen!$E$213&amp;":")</f>
        <v/>
      </c>
      <c r="M32" s="606" t="str">
        <f>IF(K34="","",Tabelle3!$BI$4-(Schachtanfrage!K34/1000)&amp;(Sprachen!E341))</f>
        <v/>
      </c>
    </row>
    <row r="33" spans="2:13" x14ac:dyDescent="0.25">
      <c r="B33" s="347"/>
      <c r="D33" s="490" t="str">
        <f>Sprachen!$E$290</f>
        <v>Posizione in °:</v>
      </c>
      <c r="E33" s="608"/>
      <c r="F33" s="466" t="str">
        <f>IF(E33&lt;0.001,"",IF(OR(E33&gt;Kollision!$Q$8,E33&lt;Kollision!$P$8),Sprachen!E299,""))</f>
        <v/>
      </c>
      <c r="G33" s="63"/>
      <c r="H33" s="9"/>
      <c r="J33" s="490" t="str">
        <f>Sprachen!$E$290</f>
        <v>Posizione in °:</v>
      </c>
      <c r="K33" s="608"/>
      <c r="L33" s="466" t="str">
        <f>IF(K33&lt;0.001,"",IF(OR(K33&gt;Kollision!$Q$8,K33&lt;Kollision!$P$8),Sprachen!E299,""))</f>
        <v/>
      </c>
      <c r="M33" s="63"/>
    </row>
    <row r="34" spans="2:13" x14ac:dyDescent="0.25">
      <c r="B34" s="347"/>
      <c r="D34" s="490" t="str">
        <f>Sprachen!$E$282</f>
        <v xml:space="preserve">Alt. del fondo mm: </v>
      </c>
      <c r="E34" s="608"/>
      <c r="F34" s="483" t="str">
        <f>IF(E34&lt;0.001,"",IF(Schachtanfrage!E34&lt;Kollision!$R$11,Sprachen!E301,IF($E$29-E34&lt;0,Sprachen!E300,"")))</f>
        <v/>
      </c>
      <c r="G34" s="504"/>
      <c r="H34" s="9"/>
      <c r="J34" s="490" t="str">
        <f>Sprachen!$E$282</f>
        <v xml:space="preserve">Alt. del fondo mm: </v>
      </c>
      <c r="K34" s="608"/>
      <c r="L34" s="483" t="str">
        <f>IF(K34&lt;0.001,"",IF(Schachtanfrage!K34&lt;Kollision!$R$11,Sprachen!E301,IF($E$29-K34&lt;0,Sprachen!E300,"")))</f>
        <v/>
      </c>
      <c r="M34" s="504"/>
    </row>
    <row r="35" spans="2:13" x14ac:dyDescent="0.25">
      <c r="B35" s="347"/>
      <c r="D35" s="491" t="str">
        <f>Sprachen!$E$292</f>
        <v>Ø-esterno in mm:</v>
      </c>
      <c r="E35" s="608"/>
      <c r="F35" s="496"/>
      <c r="G35" s="505"/>
      <c r="H35" s="9"/>
      <c r="J35" s="491" t="str">
        <f>Sprachen!$E$292</f>
        <v>Ø-esterno in mm:</v>
      </c>
      <c r="K35" s="608"/>
      <c r="L35" s="496"/>
      <c r="M35" s="505"/>
    </row>
    <row r="36" spans="2:13" ht="6" customHeight="1" x14ac:dyDescent="0.25">
      <c r="B36" s="347"/>
      <c r="D36" s="192"/>
      <c r="E36" s="419"/>
      <c r="F36" s="192"/>
    </row>
    <row r="37" spans="2:13" x14ac:dyDescent="0.25">
      <c r="B37" s="347"/>
      <c r="D37" s="493" t="str">
        <f>Sprachen!E306</f>
        <v>Entrata 3</v>
      </c>
      <c r="E37" s="61"/>
      <c r="F37" s="506" t="str">
        <f>IF(E39="","",Sprachen!$E$213&amp;":")</f>
        <v/>
      </c>
      <c r="G37" s="606" t="str">
        <f>IF(E39="","",Tabelle3!$BI$4-(Schachtanfrage!E39/1000)&amp;(Sprachen!E341))</f>
        <v/>
      </c>
      <c r="H37" s="9"/>
      <c r="J37" s="493" t="str">
        <f>Sprachen!E310</f>
        <v>Entrata 7</v>
      </c>
      <c r="K37" s="61"/>
      <c r="L37" s="506" t="str">
        <f>IF(K39="","",Sprachen!$E$213&amp;":")</f>
        <v/>
      </c>
      <c r="M37" s="606" t="str">
        <f>IF(K39="","",Tabelle3!$BI$4-(Schachtanfrage!K39/1000)&amp;(Sprachen!E341))</f>
        <v/>
      </c>
    </row>
    <row r="38" spans="2:13" x14ac:dyDescent="0.25">
      <c r="B38" s="347"/>
      <c r="D38" s="490" t="str">
        <f>Sprachen!$E$290</f>
        <v>Posizione in °:</v>
      </c>
      <c r="E38" s="608"/>
      <c r="F38" s="466" t="str">
        <f>IF(E38&lt;0.001,"",IF(OR(E38&gt;Kollision!$Q$8,E38&lt;Kollision!$P$8),Sprachen!E299,""))</f>
        <v/>
      </c>
      <c r="G38" s="63"/>
      <c r="H38" s="9"/>
      <c r="J38" s="490" t="str">
        <f>Sprachen!$E$290</f>
        <v>Posizione in °:</v>
      </c>
      <c r="K38" s="608"/>
      <c r="L38" s="466" t="str">
        <f>IF(K38&lt;0.001,"",IF(OR(K38&gt;Kollision!$Q$8,K38&lt;Kollision!$P$8),Sprachen!E299,""))</f>
        <v/>
      </c>
      <c r="M38" s="63"/>
    </row>
    <row r="39" spans="2:13" x14ac:dyDescent="0.25">
      <c r="B39" s="347"/>
      <c r="D39" s="490" t="str">
        <f>Sprachen!$E$282</f>
        <v xml:space="preserve">Alt. del fondo mm: </v>
      </c>
      <c r="E39" s="608"/>
      <c r="F39" s="483" t="str">
        <f>IF(E39&lt;0.001,"",IF(Schachtanfrage!E39&lt;Kollision!$R$11,Sprachen!E301,IF($E$29-E39&lt;0,Sprachen!E300,"")))</f>
        <v/>
      </c>
      <c r="G39" s="504"/>
      <c r="H39" s="9"/>
      <c r="J39" s="490" t="str">
        <f>Sprachen!$E$282</f>
        <v xml:space="preserve">Alt. del fondo mm: </v>
      </c>
      <c r="K39" s="608"/>
      <c r="L39" s="483" t="str">
        <f>IF(K39&lt;0.001,"",IF(Schachtanfrage!K39&lt;Kollision!$R$11,Sprachen!E301,IF($E$29-K39&lt;0,Sprachen!E300,"")))</f>
        <v/>
      </c>
      <c r="M39" s="504"/>
    </row>
    <row r="40" spans="2:13" x14ac:dyDescent="0.25">
      <c r="B40" s="347"/>
      <c r="D40" s="491" t="str">
        <f>Sprachen!$E$292</f>
        <v>Ø-esterno in mm:</v>
      </c>
      <c r="E40" s="608"/>
      <c r="F40" s="496"/>
      <c r="G40" s="505"/>
      <c r="H40" s="9"/>
      <c r="J40" s="491" t="str">
        <f>Sprachen!$E$292</f>
        <v>Ø-esterno in mm:</v>
      </c>
      <c r="K40" s="608"/>
      <c r="L40" s="496"/>
      <c r="M40" s="505"/>
    </row>
    <row r="41" spans="2:13" ht="6.75" customHeight="1" x14ac:dyDescent="0.25">
      <c r="B41" s="347"/>
      <c r="D41" s="192"/>
      <c r="E41" s="421"/>
      <c r="F41" s="192"/>
      <c r="J41" s="192"/>
      <c r="K41" s="419"/>
      <c r="L41" s="192"/>
    </row>
    <row r="42" spans="2:13" x14ac:dyDescent="0.25">
      <c r="B42" s="347"/>
      <c r="D42" s="493" t="str">
        <f>Sprachen!E307</f>
        <v>Entrata 4</v>
      </c>
      <c r="E42" s="61"/>
      <c r="F42" s="506" t="str">
        <f>IF(E44="","",Sprachen!$E$213&amp;":")</f>
        <v/>
      </c>
      <c r="G42" s="507" t="str">
        <f>IF(E44="","",Tabelle3!$BI$4-(Schachtanfrage!E44/1000)&amp;(Sprachen!E341))</f>
        <v/>
      </c>
      <c r="H42" s="9"/>
      <c r="J42" s="493" t="str">
        <f>Sprachen!E311</f>
        <v>Entrata 8</v>
      </c>
      <c r="K42" s="61"/>
      <c r="L42" s="506" t="str">
        <f>IF(K44="","",Sprachen!$E$213&amp;":")</f>
        <v/>
      </c>
      <c r="M42" s="606" t="str">
        <f>IF(K44="","",Tabelle3!$BI$4-(Schachtanfrage!K44/1000)&amp;(Sprachen!E341))</f>
        <v/>
      </c>
    </row>
    <row r="43" spans="2:13" x14ac:dyDescent="0.25">
      <c r="B43" s="347"/>
      <c r="D43" s="490" t="str">
        <f>Sprachen!$E$290</f>
        <v>Posizione in °:</v>
      </c>
      <c r="E43" s="608"/>
      <c r="F43" s="466" t="str">
        <f>IF(E43&lt;0.001,"",IF(OR(E43&gt;Kollision!$Q$8,E43&lt;Kollision!$P$8),Sprachen!E299,""))</f>
        <v/>
      </c>
      <c r="G43" s="63"/>
      <c r="H43" s="9"/>
      <c r="J43" s="490" t="str">
        <f>Sprachen!$E$290</f>
        <v>Posizione in °:</v>
      </c>
      <c r="K43" s="608"/>
      <c r="L43" s="466" t="str">
        <f>IF(K43&lt;0.001,"",IF(OR(K43&gt;Kollision!$Q$8,K43&lt;Kollision!$P$8),Sprachen!E299,""))</f>
        <v/>
      </c>
      <c r="M43" s="63"/>
    </row>
    <row r="44" spans="2:13" x14ac:dyDescent="0.25">
      <c r="B44" s="347"/>
      <c r="D44" s="490" t="str">
        <f>Sprachen!$E$282</f>
        <v xml:space="preserve">Alt. del fondo mm: </v>
      </c>
      <c r="E44" s="608"/>
      <c r="F44" s="483" t="str">
        <f>IF(E44&lt;0.001,"",IF(Schachtanfrage!E44&lt;Kollision!$R$11,Sprachen!E301,IF($E$29-E44&lt;0,Sprachen!E300,"")))</f>
        <v/>
      </c>
      <c r="G44" s="504"/>
      <c r="H44" s="9"/>
      <c r="J44" s="490" t="str">
        <f>Sprachen!$E$282</f>
        <v xml:space="preserve">Alt. del fondo mm: </v>
      </c>
      <c r="K44" s="608"/>
      <c r="L44" s="483" t="str">
        <f>IF(K44&lt;0.001,"",IF(Schachtanfrage!K44&lt;Kollision!$R$11,Sprachen!E301,IF($E$29-K44&lt;0,Sprachen!E300,"")))</f>
        <v/>
      </c>
      <c r="M44" s="504"/>
    </row>
    <row r="45" spans="2:13" x14ac:dyDescent="0.25">
      <c r="B45" s="347"/>
      <c r="D45" s="491" t="str">
        <f>Sprachen!$E$292</f>
        <v>Ø-esterno in mm:</v>
      </c>
      <c r="E45" s="608"/>
      <c r="F45" s="496"/>
      <c r="G45" s="505"/>
      <c r="H45" s="9"/>
      <c r="J45" s="491" t="str">
        <f>Sprachen!$E$292</f>
        <v>Ø-esterno in mm:</v>
      </c>
      <c r="K45" s="608"/>
      <c r="L45" s="496"/>
      <c r="M45" s="505"/>
    </row>
    <row r="46" spans="2:13" x14ac:dyDescent="0.25">
      <c r="B46" s="347"/>
      <c r="E46" s="388"/>
    </row>
    <row r="47" spans="2:13" x14ac:dyDescent="0.25">
      <c r="B47" s="347"/>
      <c r="D47" s="7" t="str">
        <f>Sprachen!E326</f>
        <v>Raccordi:</v>
      </c>
      <c r="G47" s="7"/>
    </row>
    <row r="48" spans="2:13" x14ac:dyDescent="0.25">
      <c r="B48" s="347"/>
      <c r="D48" s="684" t="s">
        <v>1069</v>
      </c>
      <c r="E48" s="685"/>
    </row>
    <row r="49" spans="2:7" x14ac:dyDescent="0.25">
      <c r="B49" s="347"/>
    </row>
    <row r="50" spans="2:7" x14ac:dyDescent="0.25">
      <c r="B50" s="347"/>
    </row>
    <row r="51" spans="2:7" x14ac:dyDescent="0.25">
      <c r="B51" s="347"/>
      <c r="D51" s="7" t="str">
        <f>Sprachen!E316</f>
        <v>Livelli di commutazione dal fondo del pozzo:</v>
      </c>
    </row>
    <row r="52" spans="2:7" x14ac:dyDescent="0.25">
      <c r="B52" s="347"/>
      <c r="D52" s="627" t="str">
        <f>Sprachen!E318</f>
        <v xml:space="preserve">Off: </v>
      </c>
      <c r="E52" s="628" t="str">
        <f>Schachtselector!$E$118&amp;" mm"</f>
        <v>0 mm</v>
      </c>
      <c r="F52" s="627"/>
      <c r="G52" s="627"/>
    </row>
    <row r="53" spans="2:7" x14ac:dyDescent="0.25">
      <c r="B53" s="347"/>
      <c r="D53" s="627" t="str">
        <f>Sprachen!E317</f>
        <v>On 1:</v>
      </c>
      <c r="E53" s="628" t="e">
        <f>Kollision!C54&amp;" mm"</f>
        <v>#VALUE!</v>
      </c>
      <c r="F53" s="627"/>
      <c r="G53" s="627"/>
    </row>
    <row r="54" spans="2:7" x14ac:dyDescent="0.25">
      <c r="B54" s="347"/>
      <c r="D54" s="627" t="str">
        <f>Sprachen!E319</f>
        <v>On 2:</v>
      </c>
      <c r="E54" s="628" t="str">
        <f>IF(Tabelle3!AA26="",Sprachen!E297,Tabelle3!AA26&amp;" mm")</f>
        <v>Non disponibile per impianti singoli</v>
      </c>
      <c r="F54" s="627"/>
      <c r="G54" s="627"/>
    </row>
    <row r="55" spans="2:7" x14ac:dyDescent="0.25">
      <c r="B55" s="347"/>
      <c r="D55" s="627" t="str">
        <f>Sprachen!E320</f>
        <v>Allarme:</v>
      </c>
      <c r="E55" s="628" t="e">
        <f>Tabelle3!AA23&amp;" mm"</f>
        <v>#VALUE!</v>
      </c>
      <c r="F55" s="627"/>
      <c r="G55" s="627"/>
    </row>
    <row r="56" spans="2:7" x14ac:dyDescent="0.25">
      <c r="B56" s="347"/>
    </row>
    <row r="57" spans="2:7" x14ac:dyDescent="0.25">
      <c r="B57" s="347"/>
      <c r="D57" s="7" t="str">
        <f>Sprachen!E322</f>
        <v>Pompa:</v>
      </c>
    </row>
    <row r="58" spans="2:7" x14ac:dyDescent="0.25">
      <c r="B58" s="347"/>
      <c r="D58" s="629" t="e">
        <f>Linkauswahl!C94</f>
        <v>#N/A</v>
      </c>
      <c r="E58" s="627"/>
      <c r="F58" s="627"/>
      <c r="G58" s="627"/>
    </row>
    <row r="59" spans="2:7" ht="15.75" thickBot="1" x14ac:dyDescent="0.3">
      <c r="B59" s="347"/>
      <c r="D59" s="7" t="str">
        <f>Sprachen!E323</f>
        <v xml:space="preserve">Scheda di configurazione: </v>
      </c>
    </row>
    <row r="60" spans="2:7" ht="15.75" thickBot="1" x14ac:dyDescent="0.3">
      <c r="B60" s="348"/>
      <c r="D60" s="111" t="e">
        <f>Übertragung!$E$2</f>
        <v>#VALUE!</v>
      </c>
      <c r="E60" s="178" t="str">
        <f>Sprachen!E324</f>
        <v>Codice per il trasferimento dati alla scheda di configurazione</v>
      </c>
    </row>
    <row r="63" spans="2:7" x14ac:dyDescent="0.25">
      <c r="D63" s="7" t="str">
        <f>Schachtselector!C189</f>
        <v xml:space="preserve"> FPS DN 1000</v>
      </c>
    </row>
    <row r="65" spans="4:5" x14ac:dyDescent="0.25">
      <c r="D65" s="7" t="str">
        <f>Schachtselector!A193</f>
        <v>Tutte le dimensioni</v>
      </c>
      <c r="E65" s="7" t="str">
        <f>Schachtselector!A194</f>
        <v>in mm:</v>
      </c>
    </row>
    <row r="110" spans="4:11" x14ac:dyDescent="0.25">
      <c r="D110" s="630" t="str">
        <f>Schachtselector!D226</f>
        <v>Afflusso totale di acque reflue in l/s:</v>
      </c>
      <c r="E110" s="630"/>
      <c r="F110" s="686">
        <f>Schachtselector!E226</f>
        <v>0</v>
      </c>
      <c r="G110" s="686"/>
      <c r="H110" s="631"/>
      <c r="I110" s="631"/>
    </row>
    <row r="111" spans="4:11" x14ac:dyDescent="0.25">
      <c r="D111" s="629" t="str">
        <f>Schachtselector!E227</f>
        <v>Volume in L</v>
      </c>
      <c r="E111" s="627"/>
      <c r="F111" s="627"/>
      <c r="G111" s="627"/>
      <c r="H111" s="627"/>
      <c r="I111" s="627"/>
      <c r="K111" s="7"/>
    </row>
    <row r="112" spans="4:11" x14ac:dyDescent="0.25">
      <c r="D112" s="632" t="str">
        <f>Schachtselector!E228</f>
        <v/>
      </c>
      <c r="E112" s="633" t="str">
        <f>Schachtselector!D228</f>
        <v>Volume utile</v>
      </c>
      <c r="F112" s="634"/>
      <c r="G112" s="634"/>
      <c r="H112" s="634"/>
      <c r="I112" s="634"/>
    </row>
    <row r="113" spans="4:9" x14ac:dyDescent="0.25">
      <c r="D113" s="635" t="e">
        <f>Schachtselector!E229</f>
        <v>#VALUE!</v>
      </c>
      <c r="E113" s="636" t="str">
        <f>Schachtselector!D229</f>
        <v>Volume di riserva</v>
      </c>
      <c r="F113" s="627"/>
      <c r="G113" s="627"/>
      <c r="H113" s="627"/>
      <c r="I113" s="627"/>
    </row>
    <row r="114" spans="4:9" x14ac:dyDescent="0.25">
      <c r="D114" s="635">
        <f>Schachtselector!E118*((Tabelle3!BG5*2)/1000)</f>
        <v>0</v>
      </c>
      <c r="E114" s="636" t="str">
        <f>Schachtselector!F118</f>
        <v>mm pozzetto della pompa</v>
      </c>
      <c r="F114" s="627"/>
      <c r="G114" s="627"/>
      <c r="H114" s="627"/>
      <c r="I114" s="627"/>
    </row>
    <row r="115" spans="4:9" x14ac:dyDescent="0.25">
      <c r="D115" s="632" t="e">
        <f>SUM(D112:D114)</f>
        <v>#VALUE!</v>
      </c>
      <c r="E115" s="633" t="e">
        <f>Sprachen!E340</f>
        <v>#N/A</v>
      </c>
      <c r="F115" s="634"/>
      <c r="G115" s="634"/>
      <c r="H115" s="634"/>
      <c r="I115" s="634"/>
    </row>
  </sheetData>
  <sheetProtection algorithmName="SHA-512" hashValue="hFau0TWEcAJDk0dgWSWREJGITrp+nOIs6Je/8pkFCFpCYdz8FkVzionG+O+xnLqVj29fgbX2pom7i//iAkpHcA==" saltValue="kTbeXS90+D2TYo6YpW42Lw==" spinCount="100000" sheet="1" objects="1" scenarios="1"/>
  <protectedRanges>
    <protectedRange sqref="E34:E35 E39:E40 E44:E45 K34:K35 K39:K40 K44:K45 D48" name="Bereich3"/>
    <protectedRange sqref="E17 E20:E21 E30 E28 E33 E38 K28:K30 K33 K38 K43 E43" name="Bereich2"/>
    <protectedRange sqref="D7:D8" name="Bereich1"/>
  </protectedRanges>
  <mergeCells count="2">
    <mergeCell ref="D48:E48"/>
    <mergeCell ref="F110:G110"/>
  </mergeCells>
  <conditionalFormatting sqref="D4">
    <cfRule type="expression" dxfId="88" priority="24">
      <formula>IF($B$4&lt;7,TRUE,FALSE)</formula>
    </cfRule>
    <cfRule type="expression" dxfId="87" priority="25">
      <formula>IF($B$4=7,TRUE,FALSE)</formula>
    </cfRule>
    <cfRule type="expression" dxfId="86" priority="26">
      <formula>IF($B$4=8,TRUE,FALSE)</formula>
    </cfRule>
    <cfRule type="expression" dxfId="85" priority="27">
      <formula>IF($B$4=9,TRUE,FALSE)</formula>
    </cfRule>
  </conditionalFormatting>
  <conditionalFormatting sqref="F4">
    <cfRule type="expression" dxfId="84" priority="20">
      <formula>IF($B$4&lt;7,TRUE,FALSE)</formula>
    </cfRule>
    <cfRule type="expression" dxfId="83" priority="21">
      <formula>IF($B$4=7,TRUE,FALSE)</formula>
    </cfRule>
    <cfRule type="expression" dxfId="82" priority="22">
      <formula>IF($B$4=8,TRUE,FALSE)</formula>
    </cfRule>
    <cfRule type="expression" dxfId="81" priority="23">
      <formula>IF($B$4=9,TRUE,FALSE)</formula>
    </cfRule>
  </conditionalFormatting>
  <conditionalFormatting sqref="E4">
    <cfRule type="expression" dxfId="80" priority="12">
      <formula>IF(B4&lt;7,TRUE,FALSE)</formula>
    </cfRule>
    <cfRule type="expression" dxfId="79" priority="13">
      <formula>IF(B4=7,TRUE,FALSE)</formula>
    </cfRule>
    <cfRule type="expression" dxfId="78" priority="14">
      <formula>IF(B4=8,TRUE,FALSE)</formula>
    </cfRule>
    <cfRule type="expression" dxfId="77" priority="15">
      <formula>IF(B4=9,TRUE,FALSE)</formula>
    </cfRule>
  </conditionalFormatting>
  <conditionalFormatting sqref="G4">
    <cfRule type="expression" dxfId="76" priority="4">
      <formula>IF($B$4&lt;7,TRUE,FALSE)</formula>
    </cfRule>
    <cfRule type="expression" dxfId="75" priority="5">
      <formula>IF($B$4=7,TRUE,FALSE)</formula>
    </cfRule>
    <cfRule type="expression" dxfId="74" priority="6">
      <formula>IF($B$4=8,TRUE,FALSE)</formula>
    </cfRule>
    <cfRule type="expression" dxfId="73" priority="7">
      <formula>IF($B$4=9,TRUE,FALSE)</formula>
    </cfRule>
  </conditionalFormatting>
  <dataValidations count="3">
    <dataValidation type="list" allowBlank="1" showInputMessage="1" showErrorMessage="1" sqref="E35:E36 K30:K31 E40:E41 K35 K40:K41 E45 K45 E30">
      <formula1>DA</formula1>
    </dataValidation>
    <dataValidation type="list" allowBlank="1" showInputMessage="1" showErrorMessage="1" sqref="K43 E28 E33 E38 E43 K28 K33 K38">
      <formula1>"45,90,135,180,225,270,315,"</formula1>
    </dataValidation>
    <dataValidation type="list" allowBlank="1" showInputMessage="1" showErrorMessage="1" sqref="E20">
      <formula1>",45,90,135,180,225,270,315,"</formula1>
    </dataValidation>
  </dataValidations>
  <pageMargins left="0.23622047244094491" right="0.23622047244094491" top="0.74803149606299213" bottom="0.74803149606299213" header="0.31496062992125984" footer="0.31496062992125984"/>
  <pageSetup paperSize="9" scale="87" orientation="portrait" r:id="rId1"/>
  <rowBreaks count="1" manualBreakCount="1">
    <brk id="61" min="1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 moveWithCells="1">
                  <from>
                    <xdr:col>6</xdr:col>
                    <xdr:colOff>495300</xdr:colOff>
                    <xdr:row>8</xdr:row>
                    <xdr:rowOff>180975</xdr:rowOff>
                  </from>
                  <to>
                    <xdr:col>6</xdr:col>
                    <xdr:colOff>704850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50A0AAAB-D77A-475A-B347-A3DCAE187D7F}">
            <xm:f>IF(Kollision!$R$7=TRUE,TRUE,FALSE)</xm:f>
            <x14:dxf>
              <font>
                <b val="0"/>
                <i val="0"/>
              </font>
              <fill>
                <patternFill>
                  <bgColor theme="0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1" id="{C4A8A091-BE2B-405D-AD40-49EF11580C4A}">
            <xm:f>IF(Tabelle3!$C$7=TRUE,TRUE,FALSE)</xm:f>
            <x14:dxf>
              <font>
                <b/>
                <i/>
                <color theme="1"/>
              </font>
              <numFmt numFmtId="30" formatCode="@"/>
            </x14:dxf>
          </x14:cfRule>
          <xm:sqref>I4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Kollision!$B$46:$B$49</xm:f>
          </x14:formula1>
          <xm:sqref>D48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B1:AI342"/>
  <sheetViews>
    <sheetView topLeftCell="G1" zoomScale="62" zoomScaleNormal="62" workbookViewId="0">
      <selection activeCell="O4" sqref="O4"/>
    </sheetView>
  </sheetViews>
  <sheetFormatPr baseColWidth="10" defaultRowHeight="15" x14ac:dyDescent="0.25"/>
  <cols>
    <col min="3" max="3" width="14.140625" customWidth="1"/>
    <col min="5" max="5" width="44.140625" customWidth="1"/>
    <col min="6" max="6" width="44.28515625" style="115" customWidth="1"/>
    <col min="11" max="11" width="71.42578125" bestFit="1" customWidth="1"/>
    <col min="12" max="12" width="31.140625" customWidth="1"/>
    <col min="13" max="13" width="62.42578125" bestFit="1" customWidth="1"/>
    <col min="14" max="14" width="24.28515625" customWidth="1"/>
    <col min="15" max="15" width="64.42578125" bestFit="1" customWidth="1"/>
    <col min="16" max="16" width="20.7109375" customWidth="1"/>
  </cols>
  <sheetData>
    <row r="1" spans="2:16" x14ac:dyDescent="0.25">
      <c r="E1" t="s">
        <v>577</v>
      </c>
    </row>
    <row r="2" spans="2:16" x14ac:dyDescent="0.25">
      <c r="B2" s="7" t="s">
        <v>611</v>
      </c>
      <c r="E2" t="s">
        <v>578</v>
      </c>
      <c r="F2" s="115" t="s">
        <v>579</v>
      </c>
    </row>
    <row r="3" spans="2:16" x14ac:dyDescent="0.25">
      <c r="B3" s="32" t="s">
        <v>368</v>
      </c>
      <c r="C3" t="b">
        <f>IF(Schachtselector!F4="Deutsch",TRUE,FALSE)</f>
        <v>0</v>
      </c>
      <c r="D3">
        <v>1</v>
      </c>
      <c r="E3" s="60" t="str">
        <f t="shared" ref="E3:E66" si="0">IF($C$3=TRUE,VLOOKUP(D3,$H$4:$P$315,4,0),IF($C$4=TRUE,VLOOKUP(D3,$H$4:$P$315,6,0),IF($C$5=TRUE,VLOOKUP(D3,$H$4:$P$315,8,0),"")))</f>
        <v>Selettore pozzo V.5.2</v>
      </c>
      <c r="F3" s="204">
        <f t="shared" ref="F3:F66" si="1">IF($C$3=TRUE,VLOOKUP(D3,$H$4:$P$315,5,0),IF($C$4=TRUE,VLOOKUP(D3,$H$4:$P$315,7,0),IF($C$5=TRUE,VLOOKUP(D3,$H$4:$P$315,9,0),"")))</f>
        <v>0</v>
      </c>
      <c r="G3" s="62"/>
      <c r="J3" t="s">
        <v>370</v>
      </c>
      <c r="K3" t="s">
        <v>371</v>
      </c>
      <c r="L3" t="s">
        <v>372</v>
      </c>
      <c r="M3" t="s">
        <v>373</v>
      </c>
      <c r="N3" t="s">
        <v>374</v>
      </c>
      <c r="O3" t="s">
        <v>580</v>
      </c>
      <c r="P3" t="s">
        <v>581</v>
      </c>
    </row>
    <row r="4" spans="2:16" x14ac:dyDescent="0.25">
      <c r="B4" s="139" t="s">
        <v>369</v>
      </c>
      <c r="C4" t="b">
        <f>IF(Schachtselector!F4="français",TRUE,FALSE)</f>
        <v>0</v>
      </c>
      <c r="D4">
        <v>2</v>
      </c>
      <c r="E4" s="62" t="str">
        <f t="shared" si="0"/>
        <v>Installatore:</v>
      </c>
      <c r="F4" s="115">
        <f t="shared" si="1"/>
        <v>0</v>
      </c>
      <c r="G4" s="62"/>
      <c r="H4">
        <v>1</v>
      </c>
      <c r="J4" t="s">
        <v>375</v>
      </c>
      <c r="K4" t="s">
        <v>2133</v>
      </c>
      <c r="M4" t="s">
        <v>2134</v>
      </c>
      <c r="O4" t="s">
        <v>2135</v>
      </c>
    </row>
    <row r="5" spans="2:16" x14ac:dyDescent="0.25">
      <c r="B5" s="139" t="s">
        <v>576</v>
      </c>
      <c r="C5" t="b">
        <f>IF(Schachtselector!F4="italiano",TRUE,FALSE)</f>
        <v>1</v>
      </c>
      <c r="D5">
        <v>3</v>
      </c>
      <c r="E5" s="62" t="str">
        <f t="shared" si="0"/>
        <v>Data:</v>
      </c>
      <c r="F5" s="115">
        <f t="shared" si="1"/>
        <v>0</v>
      </c>
      <c r="G5" s="62"/>
      <c r="H5">
        <v>2</v>
      </c>
      <c r="J5" t="s">
        <v>376</v>
      </c>
      <c r="K5" s="160" t="s">
        <v>268</v>
      </c>
      <c r="M5" t="s">
        <v>656</v>
      </c>
      <c r="O5" t="s">
        <v>657</v>
      </c>
    </row>
    <row r="6" spans="2:16" x14ac:dyDescent="0.25">
      <c r="B6" s="139"/>
      <c r="D6">
        <v>4</v>
      </c>
      <c r="E6" s="62" t="str">
        <f t="shared" si="0"/>
        <v>Impianto:</v>
      </c>
      <c r="F6" s="115">
        <f t="shared" si="1"/>
        <v>0</v>
      </c>
      <c r="G6" s="62"/>
      <c r="H6">
        <v>3</v>
      </c>
      <c r="J6" t="s">
        <v>377</v>
      </c>
      <c r="K6" t="s">
        <v>378</v>
      </c>
      <c r="M6" t="s">
        <v>658</v>
      </c>
      <c r="O6" t="s">
        <v>659</v>
      </c>
    </row>
    <row r="7" spans="2:16" x14ac:dyDescent="0.25">
      <c r="B7" s="139"/>
      <c r="D7">
        <v>5</v>
      </c>
      <c r="E7" s="62" t="str">
        <f t="shared" si="0"/>
        <v>Via:</v>
      </c>
      <c r="F7" s="115">
        <f t="shared" si="1"/>
        <v>0</v>
      </c>
      <c r="G7" s="62"/>
      <c r="H7">
        <v>4</v>
      </c>
      <c r="J7" t="s">
        <v>379</v>
      </c>
      <c r="K7" s="160" t="s">
        <v>269</v>
      </c>
      <c r="M7" t="s">
        <v>660</v>
      </c>
      <c r="O7" t="s">
        <v>661</v>
      </c>
    </row>
    <row r="8" spans="2:16" x14ac:dyDescent="0.25">
      <c r="B8" s="139"/>
      <c r="D8">
        <v>6</v>
      </c>
      <c r="E8" s="62" t="str">
        <f t="shared" si="0"/>
        <v>Città:</v>
      </c>
      <c r="F8" s="115">
        <f t="shared" si="1"/>
        <v>0</v>
      </c>
      <c r="G8" s="62"/>
      <c r="H8">
        <v>5</v>
      </c>
      <c r="J8" t="s">
        <v>380</v>
      </c>
      <c r="K8" s="160" t="s">
        <v>270</v>
      </c>
      <c r="M8" t="s">
        <v>662</v>
      </c>
      <c r="O8" t="s">
        <v>663</v>
      </c>
    </row>
    <row r="9" spans="2:16" x14ac:dyDescent="0.25">
      <c r="B9" s="139"/>
      <c r="D9">
        <v>7</v>
      </c>
      <c r="E9" s="62" t="str">
        <f t="shared" si="0"/>
        <v>Note:</v>
      </c>
      <c r="F9" s="115">
        <f t="shared" si="1"/>
        <v>0</v>
      </c>
      <c r="G9" s="62"/>
      <c r="H9">
        <v>6</v>
      </c>
      <c r="J9" t="s">
        <v>381</v>
      </c>
      <c r="K9" s="160" t="s">
        <v>271</v>
      </c>
      <c r="M9" t="s">
        <v>664</v>
      </c>
      <c r="O9" t="s">
        <v>665</v>
      </c>
    </row>
    <row r="10" spans="2:16" x14ac:dyDescent="0.25">
      <c r="B10" s="140"/>
      <c r="D10">
        <v>8</v>
      </c>
      <c r="E10" s="62" t="str">
        <f t="shared" si="0"/>
        <v>Quantità</v>
      </c>
      <c r="F10" s="115">
        <f t="shared" si="1"/>
        <v>0</v>
      </c>
      <c r="G10" s="62"/>
      <c r="H10">
        <v>7</v>
      </c>
      <c r="J10" t="s">
        <v>382</v>
      </c>
      <c r="K10" s="155" t="s">
        <v>272</v>
      </c>
      <c r="M10" t="s">
        <v>666</v>
      </c>
      <c r="O10" t="s">
        <v>667</v>
      </c>
    </row>
    <row r="11" spans="2:16" x14ac:dyDescent="0.25">
      <c r="D11">
        <v>9</v>
      </c>
      <c r="E11" s="62" t="str">
        <f t="shared" si="0"/>
        <v>Elementi da drenare</v>
      </c>
      <c r="F11" s="115">
        <f t="shared" si="1"/>
        <v>0</v>
      </c>
      <c r="G11" s="62"/>
      <c r="H11">
        <v>8</v>
      </c>
      <c r="J11" t="s">
        <v>383</v>
      </c>
      <c r="K11" s="160" t="s">
        <v>24</v>
      </c>
      <c r="M11" t="s">
        <v>839</v>
      </c>
      <c r="O11" t="s">
        <v>668</v>
      </c>
    </row>
    <row r="12" spans="2:16" x14ac:dyDescent="0.25">
      <c r="D12">
        <v>10</v>
      </c>
      <c r="E12" s="62" t="str">
        <f t="shared" si="0"/>
        <v>Design Unit</v>
      </c>
      <c r="F12" s="115">
        <f t="shared" si="1"/>
        <v>0</v>
      </c>
      <c r="G12" s="62"/>
      <c r="H12">
        <v>9</v>
      </c>
      <c r="J12" t="s">
        <v>384</v>
      </c>
      <c r="K12" s="160" t="s">
        <v>296</v>
      </c>
      <c r="M12" t="s">
        <v>669</v>
      </c>
      <c r="O12" t="s">
        <v>670</v>
      </c>
    </row>
    <row r="13" spans="2:16" x14ac:dyDescent="0.25">
      <c r="D13">
        <v>11</v>
      </c>
      <c r="E13" t="str">
        <f t="shared" si="0"/>
        <v>Totale</v>
      </c>
      <c r="F13" s="115">
        <f t="shared" si="1"/>
        <v>0</v>
      </c>
      <c r="H13">
        <v>10</v>
      </c>
      <c r="J13" t="s">
        <v>385</v>
      </c>
      <c r="K13" s="160" t="s">
        <v>367</v>
      </c>
      <c r="M13" t="s">
        <v>671</v>
      </c>
      <c r="O13" t="s">
        <v>367</v>
      </c>
    </row>
    <row r="14" spans="2:16" x14ac:dyDescent="0.25">
      <c r="D14">
        <v>12</v>
      </c>
      <c r="E14" t="str">
        <f t="shared" si="0"/>
        <v>Orinatoio senz'acqua</v>
      </c>
      <c r="F14" s="115">
        <f t="shared" si="1"/>
        <v>0</v>
      </c>
      <c r="H14">
        <v>11</v>
      </c>
      <c r="J14" t="s">
        <v>386</v>
      </c>
      <c r="K14" s="160" t="s">
        <v>25</v>
      </c>
      <c r="M14" t="s">
        <v>25</v>
      </c>
      <c r="O14" t="s">
        <v>672</v>
      </c>
    </row>
    <row r="15" spans="2:16" x14ac:dyDescent="0.25">
      <c r="D15">
        <v>13</v>
      </c>
      <c r="E15" t="str">
        <f t="shared" si="0"/>
        <v>Orinatoio per persona</v>
      </c>
      <c r="F15" s="115">
        <f t="shared" si="1"/>
        <v>0</v>
      </c>
      <c r="H15">
        <v>12</v>
      </c>
      <c r="I15" s="61"/>
      <c r="J15" s="61" t="s">
        <v>387</v>
      </c>
      <c r="K15" s="61" t="s">
        <v>0</v>
      </c>
      <c r="L15" s="61"/>
      <c r="M15" t="s">
        <v>873</v>
      </c>
      <c r="N15" s="61"/>
      <c r="O15" t="s">
        <v>673</v>
      </c>
    </row>
    <row r="16" spans="2:16" x14ac:dyDescent="0.25">
      <c r="D16">
        <v>14</v>
      </c>
      <c r="E16" t="str">
        <f t="shared" si="0"/>
        <v>Orinatoio con flussometro</v>
      </c>
      <c r="F16" s="115">
        <f t="shared" si="1"/>
        <v>0</v>
      </c>
      <c r="H16">
        <v>13</v>
      </c>
      <c r="J16" t="s">
        <v>388</v>
      </c>
      <c r="K16" t="s">
        <v>1</v>
      </c>
      <c r="M16" t="s">
        <v>874</v>
      </c>
      <c r="O16" t="s">
        <v>674</v>
      </c>
    </row>
    <row r="17" spans="4:15" x14ac:dyDescent="0.25">
      <c r="D17">
        <v>15</v>
      </c>
      <c r="E17" t="str">
        <f t="shared" si="0"/>
        <v>Orinatoio con sciacquone</v>
      </c>
      <c r="F17" s="115">
        <f t="shared" si="1"/>
        <v>0</v>
      </c>
      <c r="H17">
        <v>14</v>
      </c>
      <c r="J17" t="s">
        <v>389</v>
      </c>
      <c r="K17" t="s">
        <v>4</v>
      </c>
      <c r="M17" t="s">
        <v>876</v>
      </c>
      <c r="O17" t="s">
        <v>675</v>
      </c>
    </row>
    <row r="18" spans="4:15" x14ac:dyDescent="0.25">
      <c r="D18">
        <v>16</v>
      </c>
      <c r="E18" t="str">
        <f t="shared" si="0"/>
        <v>Lavabo, lavandino</v>
      </c>
      <c r="F18" s="115">
        <f t="shared" si="1"/>
        <v>0</v>
      </c>
      <c r="H18">
        <v>15</v>
      </c>
      <c r="J18" t="s">
        <v>390</v>
      </c>
      <c r="K18" t="s">
        <v>10</v>
      </c>
      <c r="M18" t="s">
        <v>676</v>
      </c>
      <c r="O18" t="s">
        <v>677</v>
      </c>
    </row>
    <row r="19" spans="4:15" x14ac:dyDescent="0.25">
      <c r="D19">
        <v>17</v>
      </c>
      <c r="E19" t="str">
        <f t="shared" si="0"/>
        <v>Vasca di lavaggio</v>
      </c>
      <c r="F19" s="115">
        <f t="shared" si="1"/>
        <v>0</v>
      </c>
      <c r="H19">
        <v>16</v>
      </c>
      <c r="J19" t="s">
        <v>391</v>
      </c>
      <c r="K19" t="s">
        <v>2</v>
      </c>
      <c r="M19" t="s">
        <v>875</v>
      </c>
      <c r="O19" t="s">
        <v>678</v>
      </c>
    </row>
    <row r="20" spans="4:15" x14ac:dyDescent="0.25">
      <c r="D20">
        <v>18</v>
      </c>
      <c r="E20" t="str">
        <f t="shared" si="0"/>
        <v>Lavatoio da parete</v>
      </c>
      <c r="F20" s="115">
        <f t="shared" si="1"/>
        <v>0</v>
      </c>
      <c r="H20">
        <v>17</v>
      </c>
      <c r="J20" t="s">
        <v>392</v>
      </c>
      <c r="K20" t="s">
        <v>19</v>
      </c>
      <c r="M20" t="s">
        <v>679</v>
      </c>
      <c r="O20" t="s">
        <v>680</v>
      </c>
    </row>
    <row r="21" spans="4:15" x14ac:dyDescent="0.25">
      <c r="D21">
        <v>19</v>
      </c>
      <c r="E21" t="str">
        <f t="shared" si="0"/>
        <v>Banco di lavaggio a 1 e 2 vasche</v>
      </c>
      <c r="F21" s="115">
        <f t="shared" si="1"/>
        <v>0</v>
      </c>
      <c r="H21">
        <v>18</v>
      </c>
      <c r="J21" t="s">
        <v>393</v>
      </c>
      <c r="K21" t="s">
        <v>13</v>
      </c>
      <c r="M21" t="s">
        <v>681</v>
      </c>
      <c r="O21" t="s">
        <v>682</v>
      </c>
    </row>
    <row r="22" spans="4:15" x14ac:dyDescent="0.25">
      <c r="D22">
        <v>20</v>
      </c>
      <c r="E22" t="str">
        <f t="shared" si="0"/>
        <v>Bidet</v>
      </c>
      <c r="F22" s="115">
        <f t="shared" si="1"/>
        <v>0</v>
      </c>
      <c r="H22">
        <v>19</v>
      </c>
      <c r="J22" t="s">
        <v>394</v>
      </c>
      <c r="K22" t="s">
        <v>20</v>
      </c>
      <c r="M22" t="s">
        <v>683</v>
      </c>
      <c r="O22" t="s">
        <v>684</v>
      </c>
    </row>
    <row r="23" spans="4:15" x14ac:dyDescent="0.25">
      <c r="D23">
        <v>21</v>
      </c>
      <c r="E23" t="str">
        <f t="shared" si="0"/>
        <v>Gruppo vaso a sedere fino a 7.5 l di acqua di risciacquo</v>
      </c>
      <c r="F23" s="115">
        <f t="shared" si="1"/>
        <v>0</v>
      </c>
      <c r="H23">
        <v>20</v>
      </c>
      <c r="J23" t="s">
        <v>395</v>
      </c>
      <c r="K23" t="s">
        <v>3</v>
      </c>
      <c r="M23" t="s">
        <v>3</v>
      </c>
      <c r="O23" t="s">
        <v>3</v>
      </c>
    </row>
    <row r="24" spans="4:15" x14ac:dyDescent="0.25">
      <c r="D24">
        <v>22</v>
      </c>
      <c r="E24" t="str">
        <f t="shared" si="0"/>
        <v>Gruppo vaso a sedere fino a 9 l di acqua di risciacquo</v>
      </c>
      <c r="F24" s="115">
        <f t="shared" si="1"/>
        <v>0</v>
      </c>
      <c r="H24">
        <v>21</v>
      </c>
      <c r="J24" t="s">
        <v>396</v>
      </c>
      <c r="K24" t="s">
        <v>833</v>
      </c>
      <c r="M24" t="s">
        <v>878</v>
      </c>
      <c r="O24" t="s">
        <v>834</v>
      </c>
    </row>
    <row r="25" spans="4:15" x14ac:dyDescent="0.25">
      <c r="D25">
        <v>23</v>
      </c>
      <c r="E25" t="str">
        <f t="shared" si="0"/>
        <v>Lavandino da parete per scuole</v>
      </c>
      <c r="F25" s="115">
        <f t="shared" si="1"/>
        <v>0</v>
      </c>
      <c r="H25">
        <v>22</v>
      </c>
      <c r="J25" t="s">
        <v>397</v>
      </c>
      <c r="K25" t="s">
        <v>21</v>
      </c>
      <c r="M25" t="s">
        <v>879</v>
      </c>
      <c r="O25" t="s">
        <v>685</v>
      </c>
    </row>
    <row r="26" spans="4:15" x14ac:dyDescent="0.25">
      <c r="D26">
        <v>24</v>
      </c>
      <c r="E26" t="str">
        <f t="shared" si="0"/>
        <v>Lavabo lineare con massimo 3 punti di prelievo</v>
      </c>
      <c r="F26" s="115">
        <f t="shared" si="1"/>
        <v>0</v>
      </c>
      <c r="H26">
        <v>23</v>
      </c>
      <c r="J26" t="s">
        <v>398</v>
      </c>
      <c r="K26" t="s">
        <v>6</v>
      </c>
      <c r="M26" t="s">
        <v>686</v>
      </c>
      <c r="O26" t="s">
        <v>687</v>
      </c>
    </row>
    <row r="27" spans="4:15" x14ac:dyDescent="0.25">
      <c r="D27">
        <v>25</v>
      </c>
      <c r="E27" t="str">
        <f t="shared" si="0"/>
        <v>Lavabo lineare con  4-10 punti di prelievo</v>
      </c>
      <c r="F27" s="115">
        <f t="shared" si="1"/>
        <v>0</v>
      </c>
      <c r="H27">
        <v>24</v>
      </c>
      <c r="J27" t="s">
        <v>399</v>
      </c>
      <c r="K27" t="s">
        <v>5</v>
      </c>
      <c r="M27" t="s">
        <v>688</v>
      </c>
      <c r="O27" t="s">
        <v>689</v>
      </c>
    </row>
    <row r="28" spans="4:15" x14ac:dyDescent="0.25">
      <c r="D28">
        <v>26</v>
      </c>
      <c r="E28" t="str">
        <f t="shared" si="0"/>
        <v>Centrifuga per indumenti fino a 10 kg</v>
      </c>
      <c r="F28" s="115">
        <f t="shared" si="1"/>
        <v>0</v>
      </c>
      <c r="H28">
        <v>25</v>
      </c>
      <c r="J28" t="s">
        <v>400</v>
      </c>
      <c r="K28" t="s">
        <v>300</v>
      </c>
      <c r="M28" t="s">
        <v>690</v>
      </c>
      <c r="O28" t="s">
        <v>691</v>
      </c>
    </row>
    <row r="29" spans="4:15" x14ac:dyDescent="0.25">
      <c r="D29">
        <v>27</v>
      </c>
      <c r="E29" t="str">
        <f t="shared" si="0"/>
        <v>Lavatrice fino a 6 kg</v>
      </c>
      <c r="F29" s="115">
        <f t="shared" si="1"/>
        <v>0</v>
      </c>
      <c r="H29">
        <v>26</v>
      </c>
      <c r="J29" t="s">
        <v>401</v>
      </c>
      <c r="K29" t="s">
        <v>7</v>
      </c>
      <c r="M29" t="s">
        <v>692</v>
      </c>
      <c r="O29" t="s">
        <v>693</v>
      </c>
    </row>
    <row r="30" spans="4:15" x14ac:dyDescent="0.25">
      <c r="D30">
        <v>28</v>
      </c>
      <c r="E30" t="str">
        <f t="shared" si="0"/>
        <v>Lavatrice da 7 a 12 kg</v>
      </c>
      <c r="F30" s="115">
        <f t="shared" si="1"/>
        <v>0</v>
      </c>
      <c r="H30">
        <v>27</v>
      </c>
      <c r="J30" t="s">
        <v>402</v>
      </c>
      <c r="K30" t="s">
        <v>14</v>
      </c>
      <c r="M30" t="s">
        <v>694</v>
      </c>
      <c r="O30" t="s">
        <v>695</v>
      </c>
    </row>
    <row r="31" spans="4:15" x14ac:dyDescent="0.25">
      <c r="D31">
        <v>29</v>
      </c>
      <c r="E31" t="str">
        <f t="shared" si="0"/>
        <v>Lavatrice da 13 a 40 kg</v>
      </c>
      <c r="F31" s="115">
        <f t="shared" si="1"/>
        <v>0</v>
      </c>
      <c r="H31">
        <v>28</v>
      </c>
      <c r="J31" t="s">
        <v>403</v>
      </c>
      <c r="K31" t="s">
        <v>298</v>
      </c>
      <c r="M31" t="s">
        <v>696</v>
      </c>
      <c r="O31" t="s">
        <v>697</v>
      </c>
    </row>
    <row r="32" spans="4:15" x14ac:dyDescent="0.25">
      <c r="D32">
        <v>30</v>
      </c>
      <c r="E32" t="str">
        <f t="shared" si="0"/>
        <v>Lavastoviglie domestica</v>
      </c>
      <c r="F32" s="115">
        <f t="shared" si="1"/>
        <v>0</v>
      </c>
      <c r="H32">
        <v>29</v>
      </c>
      <c r="J32" t="s">
        <v>404</v>
      </c>
      <c r="K32" t="s">
        <v>299</v>
      </c>
      <c r="M32" t="s">
        <v>698</v>
      </c>
      <c r="O32" t="s">
        <v>699</v>
      </c>
    </row>
    <row r="33" spans="4:35" x14ac:dyDescent="0.25">
      <c r="D33">
        <v>31</v>
      </c>
      <c r="E33" t="str">
        <f t="shared" si="0"/>
        <v>Lavastoviglie industriale</v>
      </c>
      <c r="F33" s="115">
        <f t="shared" si="1"/>
        <v>0</v>
      </c>
      <c r="H33">
        <v>30</v>
      </c>
      <c r="J33" t="s">
        <v>405</v>
      </c>
      <c r="K33" t="s">
        <v>16</v>
      </c>
      <c r="M33" t="s">
        <v>840</v>
      </c>
      <c r="O33" t="s">
        <v>700</v>
      </c>
    </row>
    <row r="34" spans="4:35" x14ac:dyDescent="0.25">
      <c r="D34">
        <v>32</v>
      </c>
      <c r="E34" t="str">
        <f t="shared" si="0"/>
        <v>Lavatoio da parete</v>
      </c>
      <c r="F34" s="115">
        <f t="shared" si="1"/>
        <v>0</v>
      </c>
      <c r="H34">
        <v>31</v>
      </c>
      <c r="J34" t="s">
        <v>406</v>
      </c>
      <c r="K34" t="s">
        <v>15</v>
      </c>
      <c r="M34" t="s">
        <v>841</v>
      </c>
      <c r="O34" t="s">
        <v>701</v>
      </c>
    </row>
    <row r="35" spans="4:35" x14ac:dyDescent="0.25">
      <c r="D35">
        <v>33</v>
      </c>
      <c r="E35" t="str">
        <f t="shared" si="0"/>
        <v>Doccia senza possibilità di formazione di polveri</v>
      </c>
      <c r="F35" s="115">
        <f t="shared" si="1"/>
        <v>0</v>
      </c>
      <c r="H35">
        <v>32</v>
      </c>
      <c r="J35" t="s">
        <v>407</v>
      </c>
      <c r="K35" t="s">
        <v>13</v>
      </c>
      <c r="M35" t="s">
        <v>681</v>
      </c>
      <c r="O35" t="s">
        <v>682</v>
      </c>
    </row>
    <row r="36" spans="4:35" x14ac:dyDescent="0.25">
      <c r="D36">
        <v>34</v>
      </c>
      <c r="E36" t="str">
        <f t="shared" si="0"/>
        <v>Doccia con possibilità di formazione di polveri</v>
      </c>
      <c r="F36" s="115">
        <f t="shared" si="1"/>
        <v>0</v>
      </c>
      <c r="H36">
        <v>33</v>
      </c>
      <c r="J36" t="s">
        <v>408</v>
      </c>
      <c r="K36" t="s">
        <v>8</v>
      </c>
      <c r="M36" t="s">
        <v>702</v>
      </c>
      <c r="O36" t="s">
        <v>703</v>
      </c>
    </row>
    <row r="37" spans="4:35" x14ac:dyDescent="0.25">
      <c r="D37">
        <v>35</v>
      </c>
      <c r="E37" t="str">
        <f t="shared" si="0"/>
        <v>Vasca da bagno</v>
      </c>
      <c r="F37" s="115">
        <f t="shared" si="1"/>
        <v>0</v>
      </c>
      <c r="H37">
        <v>34</v>
      </c>
      <c r="J37" t="s">
        <v>409</v>
      </c>
      <c r="K37" t="s">
        <v>9</v>
      </c>
      <c r="M37" t="s">
        <v>704</v>
      </c>
      <c r="O37" t="s">
        <v>705</v>
      </c>
    </row>
    <row r="38" spans="4:35" x14ac:dyDescent="0.25">
      <c r="D38">
        <v>36</v>
      </c>
      <c r="E38" t="str">
        <f t="shared" si="0"/>
        <v>Grande vasca, vasca di reazione per sauna</v>
      </c>
      <c r="F38" s="115">
        <f t="shared" si="1"/>
        <v>0</v>
      </c>
      <c r="H38">
        <v>35</v>
      </c>
      <c r="J38" t="s">
        <v>410</v>
      </c>
      <c r="K38" t="s">
        <v>12</v>
      </c>
      <c r="M38" t="s">
        <v>706</v>
      </c>
      <c r="O38" t="s">
        <v>707</v>
      </c>
    </row>
    <row r="39" spans="4:35" x14ac:dyDescent="0.25">
      <c r="D39">
        <v>37</v>
      </c>
      <c r="E39" t="str">
        <f t="shared" si="0"/>
        <v>Pozzetto di scarico DN 50</v>
      </c>
      <c r="F39" s="115">
        <f t="shared" si="1"/>
        <v>0</v>
      </c>
      <c r="H39">
        <v>36</v>
      </c>
      <c r="J39" t="s">
        <v>411</v>
      </c>
      <c r="K39" t="s">
        <v>23</v>
      </c>
      <c r="M39" t="s">
        <v>708</v>
      </c>
      <c r="O39" t="s">
        <v>709</v>
      </c>
    </row>
    <row r="40" spans="4:35" x14ac:dyDescent="0.25">
      <c r="D40">
        <v>38</v>
      </c>
      <c r="E40" t="str">
        <f t="shared" si="0"/>
        <v>Pozzetto di scarico DN 56</v>
      </c>
      <c r="F40" s="115">
        <f t="shared" si="1"/>
        <v>0</v>
      </c>
      <c r="H40">
        <v>37</v>
      </c>
      <c r="J40" t="s">
        <v>412</v>
      </c>
      <c r="K40" t="s">
        <v>11</v>
      </c>
      <c r="M40" t="s">
        <v>710</v>
      </c>
      <c r="O40" t="s">
        <v>711</v>
      </c>
    </row>
    <row r="41" spans="4:35" x14ac:dyDescent="0.25">
      <c r="D41">
        <v>39</v>
      </c>
      <c r="E41" t="str">
        <f t="shared" si="0"/>
        <v>Pozzetto di scarico DN 70</v>
      </c>
      <c r="F41" s="115">
        <f t="shared" si="1"/>
        <v>0</v>
      </c>
      <c r="H41">
        <v>38</v>
      </c>
      <c r="J41" t="s">
        <v>413</v>
      </c>
      <c r="K41" t="s">
        <v>18</v>
      </c>
      <c r="M41" t="s">
        <v>712</v>
      </c>
      <c r="O41" t="s">
        <v>713</v>
      </c>
    </row>
    <row r="42" spans="4:35" x14ac:dyDescent="0.25">
      <c r="D42">
        <v>40</v>
      </c>
      <c r="E42" t="str">
        <f t="shared" si="0"/>
        <v>Pozzetto di scarico DN 100</v>
      </c>
      <c r="F42" s="115">
        <f t="shared" si="1"/>
        <v>0</v>
      </c>
      <c r="H42">
        <v>39</v>
      </c>
      <c r="J42" t="s">
        <v>414</v>
      </c>
      <c r="K42" t="s">
        <v>17</v>
      </c>
      <c r="M42" t="s">
        <v>714</v>
      </c>
      <c r="O42" t="s">
        <v>715</v>
      </c>
    </row>
    <row r="43" spans="4:35" x14ac:dyDescent="0.25">
      <c r="D43">
        <v>41</v>
      </c>
      <c r="E43" t="str">
        <f t="shared" si="0"/>
        <v>Casa monofamiliare piccola</v>
      </c>
      <c r="F43" s="115">
        <f t="shared" si="1"/>
        <v>0</v>
      </c>
      <c r="H43">
        <v>40</v>
      </c>
      <c r="J43" t="s">
        <v>415</v>
      </c>
      <c r="K43" t="s">
        <v>22</v>
      </c>
      <c r="M43" t="s">
        <v>716</v>
      </c>
      <c r="O43" t="s">
        <v>717</v>
      </c>
    </row>
    <row r="44" spans="4:35" x14ac:dyDescent="0.25">
      <c r="D44">
        <v>42</v>
      </c>
      <c r="E44" t="str">
        <f t="shared" si="0"/>
        <v>Casa monofamiliare media</v>
      </c>
      <c r="F44" s="115">
        <f t="shared" si="1"/>
        <v>0</v>
      </c>
      <c r="H44">
        <v>41</v>
      </c>
      <c r="J44" t="s">
        <v>416</v>
      </c>
      <c r="K44" t="s">
        <v>26</v>
      </c>
      <c r="M44" t="s">
        <v>718</v>
      </c>
      <c r="O44" t="s">
        <v>719</v>
      </c>
      <c r="AI44" t="str">
        <f>IF(AI35&lt;AI123,1,Sprachen!E179&amp;AI127&amp;" mm ")</f>
        <v xml:space="preserve">Pozzo troppo alto di  mm </v>
      </c>
    </row>
    <row r="45" spans="4:35" x14ac:dyDescent="0.25">
      <c r="D45">
        <v>43</v>
      </c>
      <c r="E45" t="str">
        <f t="shared" si="0"/>
        <v>Casa monofamiliare grande</v>
      </c>
      <c r="F45" s="115">
        <f t="shared" si="1"/>
        <v>0</v>
      </c>
      <c r="H45">
        <v>42</v>
      </c>
      <c r="J45" t="s">
        <v>417</v>
      </c>
      <c r="K45" t="s">
        <v>27</v>
      </c>
      <c r="M45" t="s">
        <v>720</v>
      </c>
      <c r="O45" t="s">
        <v>721</v>
      </c>
    </row>
    <row r="46" spans="4:35" x14ac:dyDescent="0.25">
      <c r="D46">
        <v>44</v>
      </c>
      <c r="E46" t="str">
        <f t="shared" si="0"/>
        <v>Appartamento piccolo</v>
      </c>
      <c r="F46" s="115">
        <f t="shared" si="1"/>
        <v>0</v>
      </c>
      <c r="H46">
        <v>43</v>
      </c>
      <c r="J46" t="s">
        <v>418</v>
      </c>
      <c r="K46" t="s">
        <v>28</v>
      </c>
      <c r="M46" t="s">
        <v>722</v>
      </c>
      <c r="O46" t="s">
        <v>723</v>
      </c>
    </row>
    <row r="47" spans="4:35" x14ac:dyDescent="0.25">
      <c r="D47">
        <v>45</v>
      </c>
      <c r="E47" t="str">
        <f t="shared" si="0"/>
        <v>Appartamento medio</v>
      </c>
      <c r="F47" s="115">
        <f t="shared" si="1"/>
        <v>0</v>
      </c>
      <c r="H47">
        <v>44</v>
      </c>
      <c r="J47" t="s">
        <v>419</v>
      </c>
      <c r="K47" t="s">
        <v>29</v>
      </c>
      <c r="M47" t="s">
        <v>724</v>
      </c>
      <c r="O47" t="s">
        <v>725</v>
      </c>
    </row>
    <row r="48" spans="4:35" x14ac:dyDescent="0.25">
      <c r="D48">
        <v>46</v>
      </c>
      <c r="E48" t="str">
        <f t="shared" si="0"/>
        <v>Appartamento grande</v>
      </c>
      <c r="F48" s="115">
        <f t="shared" si="1"/>
        <v>0</v>
      </c>
      <c r="H48">
        <v>45</v>
      </c>
      <c r="J48" t="s">
        <v>420</v>
      </c>
      <c r="K48" t="s">
        <v>30</v>
      </c>
      <c r="M48" t="s">
        <v>726</v>
      </c>
      <c r="O48" t="s">
        <v>727</v>
      </c>
    </row>
    <row r="49" spans="4:15" x14ac:dyDescent="0.25">
      <c r="D49">
        <v>47</v>
      </c>
      <c r="E49" t="str">
        <f t="shared" si="0"/>
        <v>Stabilire manualmente DU</v>
      </c>
      <c r="F49" s="115">
        <f t="shared" si="1"/>
        <v>0</v>
      </c>
      <c r="H49">
        <v>46</v>
      </c>
      <c r="J49" t="s">
        <v>421</v>
      </c>
      <c r="K49" t="s">
        <v>31</v>
      </c>
      <c r="M49" t="s">
        <v>728</v>
      </c>
      <c r="O49" t="s">
        <v>729</v>
      </c>
    </row>
    <row r="50" spans="4:15" x14ac:dyDescent="0.25">
      <c r="D50">
        <v>48</v>
      </c>
      <c r="E50" t="str">
        <f t="shared" si="0"/>
        <v>Definire il liquido</v>
      </c>
      <c r="F50" s="115">
        <f t="shared" si="1"/>
        <v>0</v>
      </c>
      <c r="H50">
        <v>47</v>
      </c>
      <c r="J50" t="s">
        <v>422</v>
      </c>
      <c r="K50" t="s">
        <v>330</v>
      </c>
      <c r="M50" t="s">
        <v>730</v>
      </c>
      <c r="O50" t="s">
        <v>731</v>
      </c>
    </row>
    <row r="51" spans="4:15" x14ac:dyDescent="0.25">
      <c r="D51">
        <v>49</v>
      </c>
      <c r="E51" t="str">
        <f t="shared" si="0"/>
        <v>Senza sostanze fecali</v>
      </c>
      <c r="F51" s="115">
        <f t="shared" si="1"/>
        <v>0</v>
      </c>
      <c r="H51">
        <v>48</v>
      </c>
      <c r="I51" s="61"/>
      <c r="J51" s="199" t="s">
        <v>423</v>
      </c>
      <c r="K51" s="61" t="s">
        <v>424</v>
      </c>
      <c r="L51" s="61"/>
      <c r="M51" t="s">
        <v>732</v>
      </c>
      <c r="N51" s="61"/>
      <c r="O51" t="s">
        <v>733</v>
      </c>
    </row>
    <row r="52" spans="4:15" x14ac:dyDescent="0.25">
      <c r="D52">
        <v>50</v>
      </c>
      <c r="E52" t="str">
        <f t="shared" si="0"/>
        <v>incl. WC (acque reflue cont. sostanza fecali)</v>
      </c>
      <c r="F52" s="115">
        <f t="shared" si="1"/>
        <v>0</v>
      </c>
      <c r="H52">
        <v>49</v>
      </c>
      <c r="J52" s="200" t="s">
        <v>425</v>
      </c>
      <c r="K52" t="s">
        <v>426</v>
      </c>
      <c r="M52" t="s">
        <v>734</v>
      </c>
      <c r="O52" t="s">
        <v>735</v>
      </c>
    </row>
    <row r="53" spans="4:15" x14ac:dyDescent="0.25">
      <c r="D53">
        <v>51</v>
      </c>
      <c r="E53" t="str">
        <f t="shared" si="0"/>
        <v>Posa mediante calcolo DU</v>
      </c>
      <c r="F53" s="115">
        <f t="shared" si="1"/>
        <v>0</v>
      </c>
      <c r="H53">
        <v>50</v>
      </c>
      <c r="J53" s="200" t="s">
        <v>427</v>
      </c>
      <c r="K53" t="s">
        <v>428</v>
      </c>
      <c r="M53" t="s">
        <v>736</v>
      </c>
      <c r="O53" t="s">
        <v>831</v>
      </c>
    </row>
    <row r="54" spans="4:15" x14ac:dyDescent="0.25">
      <c r="D54">
        <v>52</v>
      </c>
      <c r="E54" t="str">
        <f t="shared" si="0"/>
        <v>Fattore di contemporaneità (valore K)</v>
      </c>
      <c r="F54" s="115">
        <f t="shared" si="1"/>
        <v>0</v>
      </c>
      <c r="H54">
        <v>51</v>
      </c>
      <c r="J54" s="17" t="s">
        <v>429</v>
      </c>
      <c r="K54" t="s">
        <v>302</v>
      </c>
      <c r="M54" t="s">
        <v>842</v>
      </c>
      <c r="O54" t="s">
        <v>737</v>
      </c>
    </row>
    <row r="55" spans="4:15" x14ac:dyDescent="0.25">
      <c r="D55">
        <v>53</v>
      </c>
      <c r="E55" t="str">
        <f t="shared" si="0"/>
        <v>Uso irregolare, ad es. edifici residenziali, pensioni, uffici</v>
      </c>
      <c r="F55" s="115">
        <f t="shared" si="1"/>
        <v>0</v>
      </c>
      <c r="H55">
        <v>52</v>
      </c>
      <c r="I55" s="61"/>
      <c r="J55" s="61" t="s">
        <v>430</v>
      </c>
      <c r="K55" s="61" t="s">
        <v>38</v>
      </c>
      <c r="L55" s="61"/>
      <c r="M55" t="s">
        <v>880</v>
      </c>
      <c r="N55" s="61"/>
      <c r="O55" t="s">
        <v>738</v>
      </c>
    </row>
    <row r="56" spans="4:15" x14ac:dyDescent="0.25">
      <c r="D56">
        <v>54</v>
      </c>
      <c r="E56" t="str">
        <f t="shared" si="0"/>
        <v>Uso regolare, ad es. ospedali, scuole, ristoranti, alberghi</v>
      </c>
      <c r="F56" s="115">
        <f t="shared" si="1"/>
        <v>0</v>
      </c>
      <c r="H56">
        <v>53</v>
      </c>
      <c r="J56" s="17" t="s">
        <v>431</v>
      </c>
      <c r="K56" t="s">
        <v>33</v>
      </c>
      <c r="M56" t="s">
        <v>877</v>
      </c>
      <c r="O56" t="s">
        <v>739</v>
      </c>
    </row>
    <row r="57" spans="4:15" x14ac:dyDescent="0.25">
      <c r="D57">
        <v>55</v>
      </c>
      <c r="E57" t="str">
        <f t="shared" si="0"/>
        <v>Uso frequente, ad es. in bagni e/o docce pubbliche</v>
      </c>
      <c r="F57" s="115">
        <f t="shared" si="1"/>
        <v>0</v>
      </c>
      <c r="H57">
        <v>54</v>
      </c>
      <c r="J57" s="9" t="s">
        <v>432</v>
      </c>
      <c r="K57" t="s">
        <v>34</v>
      </c>
      <c r="M57" t="s">
        <v>740</v>
      </c>
      <c r="O57" t="s">
        <v>741</v>
      </c>
    </row>
    <row r="58" spans="4:15" x14ac:dyDescent="0.25">
      <c r="D58">
        <v>56</v>
      </c>
      <c r="E58" t="str">
        <f t="shared" si="0"/>
        <v>Uso speciale, ad es. laboratori</v>
      </c>
      <c r="F58" s="115">
        <f t="shared" si="1"/>
        <v>0</v>
      </c>
      <c r="H58">
        <v>55</v>
      </c>
      <c r="J58" s="17" t="s">
        <v>433</v>
      </c>
      <c r="K58" t="s">
        <v>35</v>
      </c>
      <c r="M58" t="s">
        <v>843</v>
      </c>
      <c r="O58" t="s">
        <v>742</v>
      </c>
    </row>
    <row r="59" spans="4:15" x14ac:dyDescent="0.25">
      <c r="D59">
        <v>57</v>
      </c>
      <c r="E59" t="str">
        <f t="shared" si="0"/>
        <v>Afflusso totale di acque reflue risultante dal calcolo DU:</v>
      </c>
      <c r="F59" s="115">
        <f t="shared" si="1"/>
        <v>0</v>
      </c>
      <c r="H59">
        <v>56</v>
      </c>
      <c r="J59" s="9" t="s">
        <v>434</v>
      </c>
      <c r="K59" t="s">
        <v>36</v>
      </c>
      <c r="M59" t="s">
        <v>743</v>
      </c>
      <c r="O59" t="s">
        <v>744</v>
      </c>
    </row>
    <row r="60" spans="4:15" x14ac:dyDescent="0.25">
      <c r="D60">
        <v>58</v>
      </c>
      <c r="E60" t="str">
        <f t="shared" si="0"/>
        <v>Afflusso di acque cariche risultante dal calcolo DU (l/s):</v>
      </c>
      <c r="F60" s="115">
        <f t="shared" si="1"/>
        <v>0</v>
      </c>
      <c r="H60">
        <v>57</v>
      </c>
      <c r="J60" s="9" t="s">
        <v>435</v>
      </c>
      <c r="K60" t="s">
        <v>837</v>
      </c>
      <c r="M60" t="s">
        <v>1893</v>
      </c>
      <c r="O60" t="s">
        <v>745</v>
      </c>
    </row>
    <row r="61" spans="4:15" x14ac:dyDescent="0.25">
      <c r="D61">
        <v>59</v>
      </c>
      <c r="E61" t="str">
        <f t="shared" si="0"/>
        <v>Altri scarichi singoli in l/s</v>
      </c>
      <c r="F61" s="115">
        <f t="shared" si="1"/>
        <v>0</v>
      </c>
      <c r="H61">
        <v>58</v>
      </c>
      <c r="J61" s="17" t="s">
        <v>436</v>
      </c>
      <c r="K61" t="s">
        <v>844</v>
      </c>
      <c r="M61" t="s">
        <v>845</v>
      </c>
      <c r="O61" t="s">
        <v>846</v>
      </c>
    </row>
    <row r="62" spans="4:15" x14ac:dyDescent="0.25">
      <c r="D62">
        <v>60</v>
      </c>
      <c r="E62" t="str">
        <f t="shared" si="0"/>
        <v>Singolo scarico continuo in l/s</v>
      </c>
      <c r="F62" s="115">
        <f t="shared" si="1"/>
        <v>0</v>
      </c>
      <c r="H62">
        <v>59</v>
      </c>
      <c r="J62" s="9" t="s">
        <v>437</v>
      </c>
      <c r="K62" t="s">
        <v>644</v>
      </c>
      <c r="M62" t="s">
        <v>746</v>
      </c>
      <c r="O62" t="s">
        <v>747</v>
      </c>
    </row>
    <row r="63" spans="4:15" x14ac:dyDescent="0.25">
      <c r="D63">
        <v>61</v>
      </c>
      <c r="E63" t="str">
        <f t="shared" si="0"/>
        <v>Scolo dell'acqua piovana singolo in m²</v>
      </c>
      <c r="F63" s="115">
        <f t="shared" si="1"/>
        <v>0</v>
      </c>
      <c r="H63">
        <v>60</v>
      </c>
      <c r="J63" s="9" t="s">
        <v>438</v>
      </c>
      <c r="K63" t="s">
        <v>642</v>
      </c>
      <c r="M63" t="s">
        <v>847</v>
      </c>
      <c r="O63" t="s">
        <v>748</v>
      </c>
    </row>
    <row r="64" spans="4:15" x14ac:dyDescent="0.25">
      <c r="D64">
        <v>62</v>
      </c>
      <c r="E64" t="str">
        <f t="shared" si="0"/>
        <v>Quantità media di pioggia (CH 0,03 l/sm²)</v>
      </c>
      <c r="F64" s="115">
        <f t="shared" si="1"/>
        <v>0</v>
      </c>
      <c r="H64">
        <v>61</v>
      </c>
      <c r="J64" s="17" t="s">
        <v>439</v>
      </c>
      <c r="K64" t="s">
        <v>643</v>
      </c>
      <c r="M64" t="s">
        <v>848</v>
      </c>
      <c r="O64" t="s">
        <v>749</v>
      </c>
    </row>
    <row r="65" spans="4:15" x14ac:dyDescent="0.25">
      <c r="D65">
        <v>63</v>
      </c>
      <c r="E65" t="str">
        <f t="shared" si="0"/>
        <v>valore divergente dalla quantità media di pioggia in l/sm²</v>
      </c>
      <c r="F65" s="115">
        <f t="shared" si="1"/>
        <v>0</v>
      </c>
      <c r="H65">
        <v>62</v>
      </c>
      <c r="J65" s="9" t="s">
        <v>440</v>
      </c>
      <c r="K65" t="s">
        <v>850</v>
      </c>
      <c r="M65" t="s">
        <v>851</v>
      </c>
      <c r="O65" t="s">
        <v>852</v>
      </c>
    </row>
    <row r="66" spans="4:15" x14ac:dyDescent="0.25">
      <c r="D66">
        <v>64</v>
      </c>
      <c r="E66" t="str">
        <f t="shared" si="0"/>
        <v>Afflusso totale di acque reflue in l/s forfait:</v>
      </c>
      <c r="F66" s="115">
        <f t="shared" si="1"/>
        <v>0</v>
      </c>
      <c r="H66">
        <v>63</v>
      </c>
      <c r="J66" s="17" t="s">
        <v>441</v>
      </c>
      <c r="K66" t="s">
        <v>849</v>
      </c>
      <c r="M66" t="s">
        <v>854</v>
      </c>
      <c r="O66" t="s">
        <v>853</v>
      </c>
    </row>
    <row r="67" spans="4:15" x14ac:dyDescent="0.25">
      <c r="D67">
        <v>65</v>
      </c>
      <c r="E67" t="str">
        <f t="shared" ref="E67:E130" si="2">IF($C$3=TRUE,VLOOKUP(D67,$H$4:$P$315,4,0),IF($C$4=TRUE,VLOOKUP(D67,$H$4:$P$315,6,0),IF($C$5=TRUE,VLOOKUP(D67,$H$4:$P$315,8,0),"")))</f>
        <v>Afflusso totale di acque reflue in l/s:</v>
      </c>
      <c r="F67" s="115">
        <f t="shared" ref="F67:F130" si="3">IF($C$3=TRUE,VLOOKUP(D67,$H$4:$P$315,5,0),IF($C$4=TRUE,VLOOKUP(D67,$H$4:$P$315,7,0),IF($C$5=TRUE,VLOOKUP(D67,$H$4:$P$315,9,0),"")))</f>
        <v>0</v>
      </c>
      <c r="H67">
        <v>64</v>
      </c>
      <c r="J67" s="17" t="s">
        <v>442</v>
      </c>
      <c r="K67" t="s">
        <v>641</v>
      </c>
      <c r="M67" t="s">
        <v>750</v>
      </c>
      <c r="O67" t="s">
        <v>751</v>
      </c>
    </row>
    <row r="68" spans="4:15" x14ac:dyDescent="0.25">
      <c r="D68">
        <v>66</v>
      </c>
      <c r="E68" t="str">
        <f t="shared" si="2"/>
        <v>Volume utile</v>
      </c>
      <c r="F68" s="115">
        <f t="shared" si="3"/>
        <v>0</v>
      </c>
      <c r="H68">
        <v>65</v>
      </c>
      <c r="J68" s="9" t="s">
        <v>443</v>
      </c>
      <c r="K68" t="s">
        <v>80</v>
      </c>
      <c r="M68" t="s">
        <v>752</v>
      </c>
      <c r="O68" t="s">
        <v>753</v>
      </c>
    </row>
    <row r="69" spans="4:15" ht="18" x14ac:dyDescent="0.35">
      <c r="D69">
        <v>67</v>
      </c>
      <c r="E69" t="str">
        <f t="shared" si="2"/>
        <v>Volume di riserva</v>
      </c>
      <c r="F69" s="115">
        <f t="shared" si="3"/>
        <v>0</v>
      </c>
      <c r="H69">
        <v>66</v>
      </c>
      <c r="J69" s="9" t="s">
        <v>444</v>
      </c>
      <c r="K69" t="s">
        <v>2115</v>
      </c>
      <c r="M69" t="s">
        <v>754</v>
      </c>
      <c r="O69" t="s">
        <v>754</v>
      </c>
    </row>
    <row r="70" spans="4:15" ht="18" x14ac:dyDescent="0.35">
      <c r="D70">
        <v>68</v>
      </c>
      <c r="E70" t="str">
        <f t="shared" si="2"/>
        <v>Volume del pozzo in l senza pozzetto</v>
      </c>
      <c r="F70" s="115">
        <f t="shared" si="3"/>
        <v>0</v>
      </c>
      <c r="H70">
        <v>67</v>
      </c>
      <c r="J70" s="17" t="s">
        <v>445</v>
      </c>
      <c r="K70" t="s">
        <v>2116</v>
      </c>
      <c r="M70" t="s">
        <v>755</v>
      </c>
      <c r="O70" t="s">
        <v>756</v>
      </c>
    </row>
    <row r="71" spans="4:15" ht="18" x14ac:dyDescent="0.35">
      <c r="D71">
        <v>69</v>
      </c>
      <c r="E71" t="str">
        <f t="shared" si="2"/>
        <v>Tipo di installazione:</v>
      </c>
      <c r="F71" s="115">
        <f t="shared" si="3"/>
        <v>0</v>
      </c>
      <c r="H71">
        <v>68</v>
      </c>
      <c r="J71" s="9" t="s">
        <v>446</v>
      </c>
      <c r="K71" t="s">
        <v>2119</v>
      </c>
      <c r="M71" t="s">
        <v>938</v>
      </c>
      <c r="O71" t="s">
        <v>757</v>
      </c>
    </row>
    <row r="72" spans="4:15" x14ac:dyDescent="0.25">
      <c r="D72">
        <v>70</v>
      </c>
      <c r="E72" t="str">
        <f t="shared" si="2"/>
        <v>BF 11 Installazione in ambiente umido con sistema di raccordo</v>
      </c>
      <c r="F72" s="115">
        <f t="shared" si="3"/>
        <v>0</v>
      </c>
      <c r="H72">
        <v>69</v>
      </c>
      <c r="J72" s="9" t="s">
        <v>447</v>
      </c>
      <c r="K72" t="s">
        <v>654</v>
      </c>
      <c r="M72" t="s">
        <v>758</v>
      </c>
      <c r="O72" t="s">
        <v>759</v>
      </c>
    </row>
    <row r="73" spans="4:15" x14ac:dyDescent="0.25">
      <c r="D73">
        <v>71</v>
      </c>
      <c r="E73" t="str">
        <f t="shared" si="2"/>
        <v>BF 12 Installazione in ambiente umido con piede di appoggio</v>
      </c>
      <c r="F73" s="115">
        <f t="shared" si="3"/>
        <v>0</v>
      </c>
      <c r="H73">
        <v>70</v>
      </c>
      <c r="J73" s="17" t="s">
        <v>448</v>
      </c>
      <c r="K73" t="s">
        <v>334</v>
      </c>
      <c r="M73" t="s">
        <v>760</v>
      </c>
      <c r="O73" t="s">
        <v>761</v>
      </c>
    </row>
    <row r="74" spans="4:15" x14ac:dyDescent="0.25">
      <c r="D74">
        <v>72</v>
      </c>
      <c r="E74" t="str">
        <f t="shared" si="2"/>
        <v>Scelta della pompa</v>
      </c>
      <c r="F74" s="115">
        <f t="shared" si="3"/>
        <v>0</v>
      </c>
      <c r="H74">
        <v>71</v>
      </c>
      <c r="J74" s="9" t="s">
        <v>449</v>
      </c>
      <c r="K74" t="s">
        <v>335</v>
      </c>
      <c r="M74" t="s">
        <v>762</v>
      </c>
      <c r="O74" t="s">
        <v>832</v>
      </c>
    </row>
    <row r="75" spans="4:15" x14ac:dyDescent="0.25">
      <c r="D75">
        <v>73</v>
      </c>
      <c r="E75" t="str">
        <f t="shared" si="2"/>
        <v>Birox: 80</v>
      </c>
      <c r="F75" s="115">
        <f t="shared" si="3"/>
        <v>0</v>
      </c>
      <c r="H75">
        <v>72</v>
      </c>
      <c r="J75" s="9" t="s">
        <v>450</v>
      </c>
      <c r="K75" t="s">
        <v>653</v>
      </c>
      <c r="M75" t="s">
        <v>860</v>
      </c>
      <c r="O75" t="s">
        <v>763</v>
      </c>
    </row>
    <row r="76" spans="4:15" x14ac:dyDescent="0.25">
      <c r="D76">
        <v>74</v>
      </c>
      <c r="E76" t="str">
        <f t="shared" si="2"/>
        <v>Birox: 90</v>
      </c>
      <c r="F76" s="115">
        <f t="shared" si="3"/>
        <v>0</v>
      </c>
      <c r="H76">
        <v>73</v>
      </c>
      <c r="J76" s="17" t="s">
        <v>451</v>
      </c>
      <c r="K76" t="s">
        <v>59</v>
      </c>
      <c r="M76" t="s">
        <v>59</v>
      </c>
      <c r="O76" t="s">
        <v>59</v>
      </c>
    </row>
    <row r="77" spans="4:15" x14ac:dyDescent="0.25">
      <c r="D77">
        <v>75</v>
      </c>
      <c r="E77" t="str">
        <f t="shared" si="2"/>
        <v>Birox: 100/150</v>
      </c>
      <c r="F77" s="115">
        <f t="shared" si="3"/>
        <v>0</v>
      </c>
      <c r="H77">
        <v>74</v>
      </c>
      <c r="J77" s="9" t="s">
        <v>452</v>
      </c>
      <c r="K77" t="s">
        <v>60</v>
      </c>
      <c r="M77" t="s">
        <v>60</v>
      </c>
      <c r="O77" t="s">
        <v>60</v>
      </c>
    </row>
    <row r="78" spans="4:15" x14ac:dyDescent="0.25">
      <c r="D78">
        <v>76</v>
      </c>
      <c r="E78" t="str">
        <f t="shared" si="2"/>
        <v>Birox: 200</v>
      </c>
      <c r="F78" s="115">
        <f t="shared" si="3"/>
        <v>0</v>
      </c>
      <c r="H78">
        <v>75</v>
      </c>
      <c r="J78" s="17" t="s">
        <v>453</v>
      </c>
      <c r="K78" t="s">
        <v>61</v>
      </c>
      <c r="M78" t="s">
        <v>61</v>
      </c>
      <c r="O78" t="s">
        <v>61</v>
      </c>
    </row>
    <row r="79" spans="4:15" x14ac:dyDescent="0.25">
      <c r="D79">
        <v>77</v>
      </c>
      <c r="E79" t="str">
        <f t="shared" si="2"/>
        <v>FMX 50-160 / 50-187</v>
      </c>
      <c r="F79" s="115">
        <f t="shared" si="3"/>
        <v>0</v>
      </c>
      <c r="H79">
        <v>76</v>
      </c>
      <c r="J79" s="9" t="s">
        <v>454</v>
      </c>
      <c r="K79" t="s">
        <v>62</v>
      </c>
      <c r="M79" t="s">
        <v>62</v>
      </c>
      <c r="O79" t="s">
        <v>62</v>
      </c>
    </row>
    <row r="80" spans="4:15" x14ac:dyDescent="0.25">
      <c r="D80">
        <v>78</v>
      </c>
      <c r="E80" t="str">
        <f t="shared" si="2"/>
        <v>FMX 50-198 / 50-219</v>
      </c>
      <c r="F80" s="115">
        <f t="shared" si="3"/>
        <v>0</v>
      </c>
      <c r="H80">
        <v>77</v>
      </c>
      <c r="J80" s="17" t="s">
        <v>455</v>
      </c>
      <c r="K80" t="s">
        <v>1610</v>
      </c>
      <c r="M80" t="s">
        <v>1610</v>
      </c>
      <c r="O80" t="s">
        <v>1610</v>
      </c>
    </row>
    <row r="81" spans="4:15" x14ac:dyDescent="0.25">
      <c r="D81">
        <v>79</v>
      </c>
      <c r="E81" t="str">
        <f t="shared" si="2"/>
        <v>FEX 80</v>
      </c>
      <c r="F81" s="115">
        <f t="shared" si="3"/>
        <v>0</v>
      </c>
      <c r="H81">
        <v>78</v>
      </c>
      <c r="J81" s="9" t="s">
        <v>456</v>
      </c>
      <c r="K81" t="s">
        <v>1611</v>
      </c>
      <c r="M81" t="s">
        <v>1611</v>
      </c>
      <c r="O81" t="s">
        <v>1611</v>
      </c>
    </row>
    <row r="82" spans="4:15" x14ac:dyDescent="0.25">
      <c r="D82">
        <v>80</v>
      </c>
      <c r="E82" t="str">
        <f t="shared" si="2"/>
        <v>FEX 100</v>
      </c>
      <c r="F82" s="115">
        <f t="shared" si="3"/>
        <v>0</v>
      </c>
      <c r="H82">
        <v>79</v>
      </c>
      <c r="J82" s="17" t="s">
        <v>457</v>
      </c>
      <c r="K82" t="s">
        <v>55</v>
      </c>
      <c r="M82" t="s">
        <v>55</v>
      </c>
      <c r="O82" t="s">
        <v>55</v>
      </c>
    </row>
    <row r="83" spans="4:15" x14ac:dyDescent="0.25">
      <c r="D83">
        <v>81</v>
      </c>
      <c r="E83" t="str">
        <f t="shared" si="2"/>
        <v>FEX 150</v>
      </c>
      <c r="F83" s="115">
        <f t="shared" si="3"/>
        <v>0</v>
      </c>
      <c r="H83">
        <v>80</v>
      </c>
      <c r="J83" s="9" t="s">
        <v>458</v>
      </c>
      <c r="K83" t="s">
        <v>65</v>
      </c>
      <c r="M83" t="s">
        <v>65</v>
      </c>
      <c r="O83" t="s">
        <v>65</v>
      </c>
    </row>
    <row r="84" spans="4:15" x14ac:dyDescent="0.25">
      <c r="D84">
        <v>82</v>
      </c>
      <c r="E84" t="str">
        <f t="shared" si="2"/>
        <v>Pompa spec.</v>
      </c>
      <c r="F84" s="115">
        <f t="shared" si="3"/>
        <v>0</v>
      </c>
      <c r="H84">
        <v>81</v>
      </c>
      <c r="J84" s="17" t="s">
        <v>459</v>
      </c>
      <c r="K84" t="s">
        <v>66</v>
      </c>
      <c r="M84" t="s">
        <v>66</v>
      </c>
      <c r="O84" t="s">
        <v>66</v>
      </c>
    </row>
    <row r="85" spans="4:15" x14ac:dyDescent="0.25">
      <c r="D85">
        <v>83</v>
      </c>
      <c r="E85" t="str">
        <f t="shared" si="2"/>
        <v>Pozzetto in mm</v>
      </c>
      <c r="F85" s="115">
        <f t="shared" si="3"/>
        <v>0</v>
      </c>
      <c r="H85">
        <v>82</v>
      </c>
      <c r="J85" s="9" t="s">
        <v>460</v>
      </c>
      <c r="K85" t="s">
        <v>68</v>
      </c>
      <c r="M85" t="s">
        <v>764</v>
      </c>
      <c r="O85" t="s">
        <v>765</v>
      </c>
    </row>
    <row r="86" spans="4:15" x14ac:dyDescent="0.25">
      <c r="D86">
        <v>84</v>
      </c>
      <c r="E86" t="str">
        <f t="shared" si="2"/>
        <v>Impianto singolo</v>
      </c>
      <c r="F86" s="115">
        <f t="shared" si="3"/>
        <v>0</v>
      </c>
      <c r="H86">
        <v>83</v>
      </c>
      <c r="J86" s="17" t="s">
        <v>461</v>
      </c>
      <c r="K86" s="66" t="s">
        <v>295</v>
      </c>
      <c r="M86" t="s">
        <v>935</v>
      </c>
      <c r="O86" t="s">
        <v>766</v>
      </c>
    </row>
    <row r="87" spans="4:15" x14ac:dyDescent="0.25">
      <c r="D87">
        <v>85</v>
      </c>
      <c r="E87" t="str">
        <f t="shared" si="2"/>
        <v>Impianto doppio</v>
      </c>
      <c r="F87" s="115">
        <f t="shared" si="3"/>
        <v>0</v>
      </c>
      <c r="H87">
        <v>84</v>
      </c>
      <c r="J87" s="17" t="s">
        <v>462</v>
      </c>
      <c r="K87" t="s">
        <v>82</v>
      </c>
      <c r="M87" t="s">
        <v>767</v>
      </c>
      <c r="O87" t="s">
        <v>768</v>
      </c>
    </row>
    <row r="88" spans="4:15" x14ac:dyDescent="0.25">
      <c r="D88">
        <v>86</v>
      </c>
      <c r="E88" t="str">
        <f t="shared" si="2"/>
        <v>TopLine 40 /50</v>
      </c>
      <c r="F88" s="115">
        <f t="shared" si="3"/>
        <v>0</v>
      </c>
      <c r="H88">
        <v>85</v>
      </c>
      <c r="J88" s="17" t="s">
        <v>463</v>
      </c>
      <c r="K88" t="s">
        <v>83</v>
      </c>
      <c r="M88" t="s">
        <v>769</v>
      </c>
      <c r="O88" t="s">
        <v>770</v>
      </c>
    </row>
    <row r="89" spans="4:15" x14ac:dyDescent="0.25">
      <c r="D89">
        <v>87</v>
      </c>
      <c r="E89" t="str">
        <f t="shared" si="2"/>
        <v>TopLine 65</v>
      </c>
      <c r="F89" s="115">
        <f t="shared" si="3"/>
        <v>0</v>
      </c>
      <c r="H89">
        <v>86</v>
      </c>
      <c r="J89" s="17" t="s">
        <v>464</v>
      </c>
      <c r="K89" t="s">
        <v>1058</v>
      </c>
      <c r="M89" t="s">
        <v>344</v>
      </c>
      <c r="O89" t="s">
        <v>344</v>
      </c>
    </row>
    <row r="90" spans="4:15" x14ac:dyDescent="0.25">
      <c r="D90">
        <v>88</v>
      </c>
      <c r="E90" t="str">
        <f t="shared" si="2"/>
        <v>FSX  50-155</v>
      </c>
      <c r="F90" s="115">
        <f t="shared" si="3"/>
        <v>0</v>
      </c>
      <c r="H90">
        <v>87</v>
      </c>
      <c r="J90" s="17" t="s">
        <v>465</v>
      </c>
      <c r="K90" t="s">
        <v>345</v>
      </c>
      <c r="M90" t="s">
        <v>345</v>
      </c>
      <c r="O90" t="s">
        <v>345</v>
      </c>
    </row>
    <row r="91" spans="4:15" x14ac:dyDescent="0.25">
      <c r="D91">
        <v>89</v>
      </c>
      <c r="E91" t="str">
        <f t="shared" si="2"/>
        <v xml:space="preserve">FMX 50-98 / 50-135 </v>
      </c>
      <c r="F91" s="115">
        <f t="shared" si="3"/>
        <v>0</v>
      </c>
      <c r="H91">
        <v>88</v>
      </c>
      <c r="J91" s="17" t="s">
        <v>466</v>
      </c>
      <c r="K91" t="s">
        <v>1613</v>
      </c>
      <c r="M91" t="s">
        <v>1613</v>
      </c>
      <c r="O91" t="s">
        <v>1613</v>
      </c>
    </row>
    <row r="92" spans="4:15" x14ac:dyDescent="0.25">
      <c r="D92">
        <v>90</v>
      </c>
      <c r="E92" t="str">
        <f t="shared" si="2"/>
        <v>FWX 80</v>
      </c>
      <c r="F92" s="115">
        <f t="shared" si="3"/>
        <v>0</v>
      </c>
      <c r="H92">
        <v>89</v>
      </c>
      <c r="J92" s="17" t="s">
        <v>467</v>
      </c>
      <c r="K92" t="s">
        <v>1612</v>
      </c>
      <c r="M92" t="s">
        <v>1612</v>
      </c>
      <c r="O92" t="s">
        <v>1612</v>
      </c>
    </row>
    <row r="93" spans="4:15" x14ac:dyDescent="0.25">
      <c r="D93">
        <v>91</v>
      </c>
      <c r="E93" t="str">
        <f t="shared" si="2"/>
        <v>FWX 100</v>
      </c>
      <c r="F93" s="115">
        <f t="shared" si="3"/>
        <v>0</v>
      </c>
      <c r="H93">
        <v>90</v>
      </c>
      <c r="J93" s="17" t="s">
        <v>468</v>
      </c>
      <c r="K93" t="s">
        <v>54</v>
      </c>
      <c r="M93" t="s">
        <v>54</v>
      </c>
      <c r="O93" t="s">
        <v>54</v>
      </c>
    </row>
    <row r="94" spans="4:15" x14ac:dyDescent="0.25">
      <c r="D94">
        <v>92</v>
      </c>
      <c r="E94" t="str">
        <f t="shared" si="2"/>
        <v>Aumento pozzetto in mm</v>
      </c>
      <c r="F94" s="115">
        <f t="shared" si="3"/>
        <v>0</v>
      </c>
      <c r="H94">
        <v>91</v>
      </c>
      <c r="J94" s="17" t="s">
        <v>469</v>
      </c>
      <c r="K94" s="178" t="s">
        <v>64</v>
      </c>
      <c r="M94" t="s">
        <v>64</v>
      </c>
      <c r="O94" t="s">
        <v>64</v>
      </c>
    </row>
    <row r="95" spans="4:15" x14ac:dyDescent="0.25">
      <c r="D95">
        <v>93</v>
      </c>
      <c r="E95" t="str">
        <f t="shared" si="2"/>
        <v>mm pozzetto della pompa</v>
      </c>
      <c r="F95" s="115">
        <f t="shared" si="3"/>
        <v>0</v>
      </c>
      <c r="H95">
        <v>92</v>
      </c>
      <c r="J95" s="17" t="s">
        <v>470</v>
      </c>
      <c r="K95" t="s">
        <v>297</v>
      </c>
      <c r="M95" t="s">
        <v>937</v>
      </c>
      <c r="O95" t="s">
        <v>771</v>
      </c>
    </row>
    <row r="96" spans="4:15" ht="18" x14ac:dyDescent="0.35">
      <c r="D96" s="200">
        <v>94</v>
      </c>
      <c r="E96" t="str">
        <f t="shared" si="2"/>
        <v>Attenzione nessuna alimentazione continua!</v>
      </c>
      <c r="F96" s="115">
        <f t="shared" si="3"/>
        <v>0</v>
      </c>
      <c r="H96">
        <v>93</v>
      </c>
      <c r="J96" s="17" t="s">
        <v>471</v>
      </c>
      <c r="K96" t="s">
        <v>2117</v>
      </c>
      <c r="M96" t="s">
        <v>936</v>
      </c>
      <c r="O96" t="s">
        <v>772</v>
      </c>
    </row>
    <row r="97" spans="4:15" x14ac:dyDescent="0.25">
      <c r="D97" s="200">
        <v>95</v>
      </c>
      <c r="E97" t="str">
        <f t="shared" si="2"/>
        <v>Definire il liquido</v>
      </c>
      <c r="F97" s="115">
        <f t="shared" si="3"/>
        <v>0</v>
      </c>
      <c r="H97">
        <v>94</v>
      </c>
      <c r="J97" s="200" t="s">
        <v>472</v>
      </c>
      <c r="K97" s="61" t="s">
        <v>645</v>
      </c>
      <c r="M97" t="s">
        <v>773</v>
      </c>
      <c r="O97" t="s">
        <v>774</v>
      </c>
    </row>
    <row r="98" spans="4:15" x14ac:dyDescent="0.25">
      <c r="D98" s="200">
        <v>96</v>
      </c>
      <c r="E98" t="str">
        <f t="shared" si="2"/>
        <v>incl. WC (acque reflue cont. sostanza fecali)</v>
      </c>
      <c r="F98" s="115">
        <f t="shared" si="3"/>
        <v>0</v>
      </c>
      <c r="H98">
        <v>95</v>
      </c>
      <c r="J98" s="200" t="s">
        <v>473</v>
      </c>
      <c r="K98" t="s">
        <v>424</v>
      </c>
      <c r="M98" t="s">
        <v>732</v>
      </c>
      <c r="O98" t="s">
        <v>733</v>
      </c>
    </row>
    <row r="99" spans="4:15" x14ac:dyDescent="0.25">
      <c r="D99" s="200">
        <v>97</v>
      </c>
      <c r="E99" t="str">
        <f t="shared" si="2"/>
        <v>Senza sostanze fecali</v>
      </c>
      <c r="F99" s="115">
        <f t="shared" si="3"/>
        <v>0</v>
      </c>
      <c r="H99">
        <v>96</v>
      </c>
      <c r="J99" s="200" t="s">
        <v>474</v>
      </c>
      <c r="K99" t="s">
        <v>428</v>
      </c>
      <c r="M99" t="s">
        <v>736</v>
      </c>
      <c r="O99" t="s">
        <v>831</v>
      </c>
    </row>
    <row r="100" spans="4:15" x14ac:dyDescent="0.25">
      <c r="D100" s="200">
        <v>98</v>
      </c>
      <c r="E100" t="str">
        <f t="shared" si="2"/>
        <v>Solo una selezione possibile</v>
      </c>
      <c r="F100" s="115">
        <f t="shared" si="3"/>
        <v>0</v>
      </c>
      <c r="H100">
        <v>97</v>
      </c>
      <c r="J100" s="200" t="s">
        <v>475</v>
      </c>
      <c r="K100" t="s">
        <v>426</v>
      </c>
      <c r="M100" t="s">
        <v>734</v>
      </c>
      <c r="O100" t="s">
        <v>735</v>
      </c>
    </row>
    <row r="101" spans="4:15" x14ac:dyDescent="0.25">
      <c r="D101" s="200">
        <v>99</v>
      </c>
      <c r="E101" t="str">
        <f t="shared" si="2"/>
        <v>Verificare lo spazio disponibile</v>
      </c>
      <c r="F101" s="115">
        <f t="shared" si="3"/>
        <v>0</v>
      </c>
      <c r="H101">
        <v>98</v>
      </c>
      <c r="J101" s="200" t="s">
        <v>476</v>
      </c>
      <c r="K101" s="61" t="s">
        <v>861</v>
      </c>
      <c r="M101" t="s">
        <v>775</v>
      </c>
      <c r="O101" t="s">
        <v>776</v>
      </c>
    </row>
    <row r="102" spans="4:15" x14ac:dyDescent="0.25">
      <c r="D102" s="61">
        <v>100</v>
      </c>
      <c r="E102" s="61" t="str">
        <f t="shared" si="2"/>
        <v>Valutazione (tutte le dimensioni in mm):</v>
      </c>
      <c r="F102" s="115">
        <f t="shared" si="3"/>
        <v>0</v>
      </c>
      <c r="H102">
        <v>99</v>
      </c>
      <c r="J102" s="200" t="s">
        <v>477</v>
      </c>
      <c r="K102" t="s">
        <v>478</v>
      </c>
      <c r="M102" t="s">
        <v>777</v>
      </c>
      <c r="O102" t="s">
        <v>778</v>
      </c>
    </row>
    <row r="103" spans="4:15" x14ac:dyDescent="0.25">
      <c r="D103" s="60">
        <v>101</v>
      </c>
      <c r="E103" s="179" t="str">
        <f t="shared" si="2"/>
        <v>H utile</v>
      </c>
      <c r="F103" s="204">
        <f t="shared" si="3"/>
        <v>0</v>
      </c>
      <c r="H103">
        <v>100</v>
      </c>
      <c r="J103" s="17" t="s">
        <v>479</v>
      </c>
      <c r="K103" s="61" t="s">
        <v>586</v>
      </c>
      <c r="M103" t="s">
        <v>779</v>
      </c>
      <c r="O103" t="s">
        <v>780</v>
      </c>
    </row>
    <row r="104" spans="4:15" x14ac:dyDescent="0.25">
      <c r="D104" s="62">
        <v>102</v>
      </c>
      <c r="E104" s="9" t="str">
        <f t="shared" si="2"/>
        <v>H totale incl. coperchio + fondo</v>
      </c>
      <c r="F104" s="205">
        <f t="shared" si="3"/>
        <v>0</v>
      </c>
      <c r="H104">
        <v>101</v>
      </c>
      <c r="J104" s="119" t="s">
        <v>480</v>
      </c>
      <c r="K104" s="179" t="s">
        <v>585</v>
      </c>
      <c r="M104" t="s">
        <v>781</v>
      </c>
      <c r="O104" t="s">
        <v>782</v>
      </c>
    </row>
    <row r="105" spans="4:15" x14ac:dyDescent="0.25">
      <c r="D105" s="62">
        <v>103</v>
      </c>
      <c r="E105" s="9" t="str">
        <f t="shared" si="2"/>
        <v>H volume del pozzetto</v>
      </c>
      <c r="F105" s="205">
        <f t="shared" si="3"/>
        <v>0</v>
      </c>
      <c r="H105">
        <v>102</v>
      </c>
      <c r="J105" s="62"/>
      <c r="K105" s="201" t="s">
        <v>838</v>
      </c>
      <c r="M105" t="s">
        <v>783</v>
      </c>
      <c r="O105" t="s">
        <v>784</v>
      </c>
    </row>
    <row r="106" spans="4:15" x14ac:dyDescent="0.25">
      <c r="D106" s="62">
        <v>104</v>
      </c>
      <c r="E106" s="9" t="str">
        <f t="shared" si="2"/>
        <v>H volume utile</v>
      </c>
      <c r="F106" s="205">
        <f t="shared" si="3"/>
        <v>0</v>
      </c>
      <c r="H106">
        <v>103</v>
      </c>
      <c r="J106" s="62"/>
      <c r="K106" s="201" t="s">
        <v>589</v>
      </c>
      <c r="M106" t="s">
        <v>785</v>
      </c>
      <c r="O106" t="s">
        <v>786</v>
      </c>
    </row>
    <row r="107" spans="4:15" x14ac:dyDescent="0.25">
      <c r="D107" s="62">
        <v>105</v>
      </c>
      <c r="E107" s="9" t="str">
        <f t="shared" si="2"/>
        <v>H volume di riserva</v>
      </c>
      <c r="F107" s="205">
        <f t="shared" si="3"/>
        <v>0</v>
      </c>
      <c r="H107">
        <v>104</v>
      </c>
      <c r="J107" s="62"/>
      <c r="K107" s="201" t="s">
        <v>587</v>
      </c>
      <c r="M107" t="s">
        <v>787</v>
      </c>
      <c r="O107" t="s">
        <v>787</v>
      </c>
    </row>
    <row r="108" spans="4:15" x14ac:dyDescent="0.25">
      <c r="D108" s="62">
        <v>106</v>
      </c>
      <c r="E108" s="9" t="str">
        <f t="shared" si="2"/>
        <v>Scelta coperchio:</v>
      </c>
      <c r="F108" s="205">
        <f t="shared" si="3"/>
        <v>0</v>
      </c>
      <c r="H108">
        <v>105</v>
      </c>
      <c r="J108" s="62"/>
      <c r="K108" s="201" t="s">
        <v>588</v>
      </c>
      <c r="M108" t="s">
        <v>788</v>
      </c>
      <c r="O108" t="s">
        <v>789</v>
      </c>
    </row>
    <row r="109" spans="4:15" x14ac:dyDescent="0.25">
      <c r="D109" s="62">
        <v>107</v>
      </c>
      <c r="E109" s="9" t="str">
        <f t="shared" si="2"/>
        <v>Selezionare pozzo</v>
      </c>
      <c r="F109" s="205">
        <f t="shared" si="3"/>
        <v>0</v>
      </c>
      <c r="H109">
        <v>106</v>
      </c>
      <c r="J109" s="62"/>
      <c r="K109" s="201" t="s">
        <v>256</v>
      </c>
      <c r="M109" t="s">
        <v>790</v>
      </c>
      <c r="O109" t="s">
        <v>791</v>
      </c>
    </row>
    <row r="110" spans="4:15" x14ac:dyDescent="0.25">
      <c r="D110" s="62">
        <v>108</v>
      </c>
      <c r="E110" s="9">
        <f t="shared" si="2"/>
        <v>0</v>
      </c>
      <c r="F110" s="205">
        <f t="shared" si="3"/>
        <v>0</v>
      </c>
      <c r="H110">
        <v>107</v>
      </c>
      <c r="J110" s="62"/>
      <c r="K110" s="201" t="s">
        <v>192</v>
      </c>
      <c r="M110" t="s">
        <v>792</v>
      </c>
      <c r="O110" t="s">
        <v>793</v>
      </c>
    </row>
    <row r="111" spans="4:15" x14ac:dyDescent="0.25">
      <c r="D111" s="62">
        <v>109</v>
      </c>
      <c r="E111" s="9">
        <f t="shared" si="2"/>
        <v>0</v>
      </c>
      <c r="F111" s="205">
        <f t="shared" si="3"/>
        <v>0</v>
      </c>
      <c r="H111">
        <v>108</v>
      </c>
      <c r="J111" s="202"/>
      <c r="K111" s="208"/>
    </row>
    <row r="112" spans="4:15" x14ac:dyDescent="0.25">
      <c r="D112" s="65">
        <v>110</v>
      </c>
      <c r="E112" s="66">
        <f t="shared" si="2"/>
        <v>0</v>
      </c>
      <c r="F112" s="206">
        <f t="shared" si="3"/>
        <v>0</v>
      </c>
      <c r="H112">
        <v>109</v>
      </c>
      <c r="J112" s="202"/>
      <c r="K112" s="208"/>
    </row>
    <row r="113" spans="3:16" x14ac:dyDescent="0.25">
      <c r="D113" s="9">
        <v>111</v>
      </c>
      <c r="E113" s="9">
        <f t="shared" si="2"/>
        <v>0</v>
      </c>
      <c r="F113" s="207">
        <f t="shared" si="3"/>
        <v>0</v>
      </c>
      <c r="H113">
        <v>110</v>
      </c>
      <c r="J113" s="203"/>
      <c r="K113" s="209"/>
    </row>
    <row r="114" spans="3:16" x14ac:dyDescent="0.25">
      <c r="D114">
        <v>112</v>
      </c>
      <c r="E114">
        <f t="shared" si="2"/>
        <v>0</v>
      </c>
      <c r="F114" s="115">
        <f t="shared" si="3"/>
        <v>0</v>
      </c>
      <c r="H114">
        <v>111</v>
      </c>
    </row>
    <row r="115" spans="3:16" x14ac:dyDescent="0.25">
      <c r="C115" t="s">
        <v>43</v>
      </c>
      <c r="D115">
        <v>113</v>
      </c>
      <c r="E115" t="str">
        <f t="shared" si="2"/>
        <v xml:space="preserve">Indicazione di altezza superata </v>
      </c>
      <c r="F115" s="115">
        <f t="shared" si="3"/>
        <v>0</v>
      </c>
      <c r="H115">
        <v>112</v>
      </c>
      <c r="J115" t="s">
        <v>483</v>
      </c>
    </row>
    <row r="116" spans="3:16" x14ac:dyDescent="0.25">
      <c r="D116">
        <v>114</v>
      </c>
      <c r="E116" t="str">
        <f t="shared" si="2"/>
        <v xml:space="preserve">Entrata al di sotto del volume utile </v>
      </c>
      <c r="F116" s="115">
        <f t="shared" si="3"/>
        <v>0</v>
      </c>
      <c r="H116">
        <v>113</v>
      </c>
      <c r="I116" t="s">
        <v>43</v>
      </c>
      <c r="J116" t="s">
        <v>484</v>
      </c>
      <c r="K116" s="375" t="s">
        <v>1907</v>
      </c>
      <c r="M116" t="s">
        <v>881</v>
      </c>
      <c r="O116" t="s">
        <v>910</v>
      </c>
    </row>
    <row r="117" spans="3:16" x14ac:dyDescent="0.25">
      <c r="D117">
        <v>115</v>
      </c>
      <c r="E117" t="str">
        <f t="shared" si="2"/>
        <v xml:space="preserve">Le pompe per sostanze fecali non vanno bene </v>
      </c>
      <c r="F117" s="115" t="str">
        <f t="shared" si="3"/>
        <v xml:space="preserve">Sovrapposizione pericolosa di </v>
      </c>
      <c r="H117">
        <v>114</v>
      </c>
      <c r="J117" t="s">
        <v>485</v>
      </c>
      <c r="K117" t="s">
        <v>1156</v>
      </c>
      <c r="M117" t="s">
        <v>882</v>
      </c>
      <c r="O117" t="s">
        <v>911</v>
      </c>
    </row>
    <row r="118" spans="3:16" x14ac:dyDescent="0.25">
      <c r="D118">
        <v>116</v>
      </c>
      <c r="E118" t="str">
        <f t="shared" si="2"/>
        <v xml:space="preserve">Non c'è spazio per il volume di riserva nell'altezza totale indicata </v>
      </c>
      <c r="F118" s="115">
        <f t="shared" si="3"/>
        <v>0</v>
      </c>
      <c r="H118">
        <v>115</v>
      </c>
      <c r="J118" t="s">
        <v>486</v>
      </c>
      <c r="K118" s="485" t="s">
        <v>1157</v>
      </c>
      <c r="L118" t="s">
        <v>651</v>
      </c>
      <c r="M118" t="s">
        <v>883</v>
      </c>
      <c r="N118" t="s">
        <v>864</v>
      </c>
      <c r="O118" t="s">
        <v>912</v>
      </c>
      <c r="P118" t="s">
        <v>863</v>
      </c>
    </row>
    <row r="119" spans="3:16" x14ac:dyDescent="0.25">
      <c r="D119">
        <v>117</v>
      </c>
      <c r="E119" t="str">
        <f t="shared" si="2"/>
        <v xml:space="preserve">Pozzo troppo alto di </v>
      </c>
      <c r="F119" s="115">
        <f t="shared" si="3"/>
        <v>0</v>
      </c>
      <c r="H119">
        <v>116</v>
      </c>
      <c r="J119" t="s">
        <v>487</v>
      </c>
      <c r="K119" s="485" t="s">
        <v>1158</v>
      </c>
      <c r="M119" t="s">
        <v>884</v>
      </c>
      <c r="O119" t="s">
        <v>913</v>
      </c>
    </row>
    <row r="120" spans="3:16" x14ac:dyDescent="0.25">
      <c r="D120">
        <v>118</v>
      </c>
      <c r="E120" t="str">
        <f t="shared" si="2"/>
        <v xml:space="preserve">Pozzo troppo basso altezza min BF11 non raggiunta per </v>
      </c>
      <c r="F120" s="115">
        <f t="shared" si="3"/>
        <v>0</v>
      </c>
      <c r="H120">
        <v>117</v>
      </c>
      <c r="J120" t="s">
        <v>488</v>
      </c>
      <c r="K120" s="375" t="s">
        <v>1986</v>
      </c>
      <c r="M120" t="s">
        <v>862</v>
      </c>
      <c r="O120" t="s">
        <v>867</v>
      </c>
    </row>
    <row r="121" spans="3:16" x14ac:dyDescent="0.25">
      <c r="D121">
        <v>119</v>
      </c>
      <c r="E121" t="str">
        <f t="shared" si="2"/>
        <v xml:space="preserve">Pozzo troppo basso altezza min BF12  non raggiunta per </v>
      </c>
      <c r="F121" s="115">
        <f t="shared" si="3"/>
        <v>0</v>
      </c>
      <c r="H121">
        <v>118</v>
      </c>
      <c r="J121" t="s">
        <v>489</v>
      </c>
      <c r="K121" s="375" t="s">
        <v>1908</v>
      </c>
      <c r="M121" t="s">
        <v>868</v>
      </c>
      <c r="O121" t="s">
        <v>865</v>
      </c>
    </row>
    <row r="122" spans="3:16" x14ac:dyDescent="0.25">
      <c r="D122">
        <v>120</v>
      </c>
      <c r="E122" t="str">
        <f t="shared" si="2"/>
        <v xml:space="preserve"> impossibile </v>
      </c>
      <c r="F122" s="115">
        <f t="shared" si="3"/>
        <v>0</v>
      </c>
      <c r="H122">
        <v>119</v>
      </c>
      <c r="J122" t="s">
        <v>490</v>
      </c>
      <c r="K122" s="485" t="s">
        <v>603</v>
      </c>
      <c r="M122" t="s">
        <v>869</v>
      </c>
      <c r="O122" t="s">
        <v>866</v>
      </c>
    </row>
    <row r="123" spans="3:16" x14ac:dyDescent="0.25">
      <c r="D123">
        <v>121</v>
      </c>
      <c r="E123" t="str">
        <f t="shared" si="2"/>
        <v xml:space="preserve">Pompa troppo grande </v>
      </c>
      <c r="F123" s="115">
        <f t="shared" si="3"/>
        <v>0</v>
      </c>
      <c r="H123">
        <v>120</v>
      </c>
      <c r="J123" t="s">
        <v>491</v>
      </c>
      <c r="K123" s="375" t="s">
        <v>1159</v>
      </c>
      <c r="M123" t="s">
        <v>885</v>
      </c>
      <c r="O123" t="s">
        <v>914</v>
      </c>
    </row>
    <row r="124" spans="3:16" x14ac:dyDescent="0.25">
      <c r="D124">
        <v>122</v>
      </c>
      <c r="E124">
        <f t="shared" si="2"/>
        <v>0</v>
      </c>
      <c r="F124" s="115">
        <f t="shared" si="3"/>
        <v>0</v>
      </c>
      <c r="H124">
        <v>121</v>
      </c>
      <c r="J124" t="s">
        <v>492</v>
      </c>
      <c r="K124" s="375" t="s">
        <v>1160</v>
      </c>
      <c r="M124" t="s">
        <v>886</v>
      </c>
      <c r="O124" t="s">
        <v>915</v>
      </c>
    </row>
    <row r="125" spans="3:16" x14ac:dyDescent="0.25">
      <c r="C125" t="s">
        <v>173</v>
      </c>
      <c r="D125">
        <v>123</v>
      </c>
      <c r="E125" t="str">
        <f t="shared" si="2"/>
        <v xml:space="preserve">Indicazione di altezza superata </v>
      </c>
      <c r="F125" s="115">
        <f t="shared" si="3"/>
        <v>0</v>
      </c>
      <c r="H125">
        <v>122</v>
      </c>
    </row>
    <row r="126" spans="3:16" x14ac:dyDescent="0.25">
      <c r="D126">
        <v>124</v>
      </c>
      <c r="E126" t="str">
        <f t="shared" si="2"/>
        <v xml:space="preserve">Entrata al di sotto del volume utile </v>
      </c>
      <c r="F126" s="115">
        <f t="shared" si="3"/>
        <v>0</v>
      </c>
      <c r="H126">
        <v>123</v>
      </c>
      <c r="I126" t="s">
        <v>173</v>
      </c>
      <c r="J126" t="s">
        <v>493</v>
      </c>
      <c r="K126" t="s">
        <v>1155</v>
      </c>
      <c r="M126" t="s">
        <v>881</v>
      </c>
      <c r="O126" t="s">
        <v>910</v>
      </c>
    </row>
    <row r="127" spans="3:16" x14ac:dyDescent="0.25">
      <c r="D127">
        <v>125</v>
      </c>
      <c r="E127" s="192" t="str">
        <f t="shared" si="2"/>
        <v xml:space="preserve">Le pompe per sostanze fecali non vanno bene </v>
      </c>
      <c r="F127" s="115" t="str">
        <f t="shared" si="3"/>
        <v xml:space="preserve">Sovrapposizione pericolosa di </v>
      </c>
      <c r="H127">
        <v>124</v>
      </c>
      <c r="J127" t="s">
        <v>494</v>
      </c>
      <c r="K127" t="s">
        <v>1156</v>
      </c>
      <c r="M127" t="s">
        <v>882</v>
      </c>
      <c r="O127" t="s">
        <v>911</v>
      </c>
    </row>
    <row r="128" spans="3:16" x14ac:dyDescent="0.25">
      <c r="D128">
        <v>126</v>
      </c>
      <c r="E128" t="str">
        <f t="shared" si="2"/>
        <v xml:space="preserve">Non c'è spazio per il volume di riserva nell'altezza totale indicata </v>
      </c>
      <c r="F128" s="115">
        <f t="shared" si="3"/>
        <v>0</v>
      </c>
      <c r="H128">
        <v>125</v>
      </c>
      <c r="J128" t="s">
        <v>495</v>
      </c>
      <c r="K128" t="s">
        <v>1157</v>
      </c>
      <c r="L128" t="s">
        <v>651</v>
      </c>
      <c r="M128" t="s">
        <v>883</v>
      </c>
      <c r="N128" t="s">
        <v>794</v>
      </c>
      <c r="O128" t="s">
        <v>912</v>
      </c>
      <c r="P128" t="s">
        <v>863</v>
      </c>
    </row>
    <row r="129" spans="3:16" x14ac:dyDescent="0.25">
      <c r="D129">
        <v>127</v>
      </c>
      <c r="E129" t="str">
        <f t="shared" si="2"/>
        <v xml:space="preserve">Pozzo troppo alto di </v>
      </c>
      <c r="F129" s="115">
        <f t="shared" si="3"/>
        <v>0</v>
      </c>
      <c r="H129">
        <v>126</v>
      </c>
      <c r="J129" t="s">
        <v>496</v>
      </c>
      <c r="K129" t="s">
        <v>1158</v>
      </c>
      <c r="M129" t="s">
        <v>884</v>
      </c>
      <c r="O129" t="s">
        <v>913</v>
      </c>
    </row>
    <row r="130" spans="3:16" x14ac:dyDescent="0.25">
      <c r="D130">
        <v>128</v>
      </c>
      <c r="E130" t="str">
        <f t="shared" si="2"/>
        <v xml:space="preserve">Pozzo troppo basso altezza min BF11 non raggiunta per </v>
      </c>
      <c r="F130" s="115">
        <f t="shared" si="3"/>
        <v>0</v>
      </c>
      <c r="H130">
        <v>127</v>
      </c>
      <c r="J130" t="s">
        <v>497</v>
      </c>
      <c r="K130" t="s">
        <v>604</v>
      </c>
      <c r="M130" t="s">
        <v>862</v>
      </c>
      <c r="O130" t="s">
        <v>867</v>
      </c>
    </row>
    <row r="131" spans="3:16" x14ac:dyDescent="0.25">
      <c r="D131">
        <v>129</v>
      </c>
      <c r="E131" t="str">
        <f t="shared" ref="E131:E194" si="4">IF($C$3=TRUE,VLOOKUP(D131,$H$4:$P$315,4,0),IF($C$4=TRUE,VLOOKUP(D131,$H$4:$P$315,6,0),IF($C$5=TRUE,VLOOKUP(D131,$H$4:$P$315,8,0),"")))</f>
        <v xml:space="preserve">Pozzo troppo basso altezza min BF12  non raggiunta per </v>
      </c>
      <c r="F131" s="115">
        <f t="shared" ref="F131:F194" si="5">IF($C$3=TRUE,VLOOKUP(D131,$H$4:$P$315,5,0),IF($C$4=TRUE,VLOOKUP(D131,$H$4:$P$315,7,0),IF($C$5=TRUE,VLOOKUP(D131,$H$4:$P$315,9,0),"")))</f>
        <v>0</v>
      </c>
      <c r="H131">
        <v>128</v>
      </c>
      <c r="J131" t="s">
        <v>498</v>
      </c>
      <c r="K131" t="s">
        <v>602</v>
      </c>
      <c r="M131" t="s">
        <v>868</v>
      </c>
      <c r="O131" t="s">
        <v>865</v>
      </c>
    </row>
    <row r="132" spans="3:16" x14ac:dyDescent="0.25">
      <c r="D132">
        <v>130</v>
      </c>
      <c r="E132" t="str">
        <f t="shared" si="4"/>
        <v xml:space="preserve"> impossibile </v>
      </c>
      <c r="F132" s="115">
        <f t="shared" si="5"/>
        <v>0</v>
      </c>
      <c r="H132">
        <v>129</v>
      </c>
      <c r="J132" t="s">
        <v>499</v>
      </c>
      <c r="K132" t="s">
        <v>605</v>
      </c>
      <c r="M132" t="s">
        <v>869</v>
      </c>
      <c r="O132" t="s">
        <v>866</v>
      </c>
    </row>
    <row r="133" spans="3:16" x14ac:dyDescent="0.25">
      <c r="D133">
        <v>131</v>
      </c>
      <c r="E133" t="str">
        <f t="shared" si="4"/>
        <v xml:space="preserve">Pompa troppo grande </v>
      </c>
      <c r="F133" s="115">
        <f t="shared" si="5"/>
        <v>0</v>
      </c>
      <c r="H133">
        <v>130</v>
      </c>
      <c r="J133" t="s">
        <v>500</v>
      </c>
      <c r="K133" t="s">
        <v>1159</v>
      </c>
      <c r="L133" s="210" t="str">
        <f>IF(Tabelle2!W50=1,"",", DN Druckleitung nicht möglich")</f>
        <v/>
      </c>
      <c r="M133" t="s">
        <v>887</v>
      </c>
      <c r="N133" t="s">
        <v>888</v>
      </c>
      <c r="O133" t="s">
        <v>914</v>
      </c>
    </row>
    <row r="134" spans="3:16" x14ac:dyDescent="0.25">
      <c r="D134">
        <v>132</v>
      </c>
      <c r="E134">
        <f t="shared" si="4"/>
        <v>0</v>
      </c>
      <c r="F134" s="115">
        <f t="shared" si="5"/>
        <v>0</v>
      </c>
      <c r="H134">
        <v>131</v>
      </c>
      <c r="J134" t="s">
        <v>501</v>
      </c>
      <c r="K134" t="s">
        <v>1160</v>
      </c>
      <c r="M134" t="s">
        <v>886</v>
      </c>
      <c r="O134" t="s">
        <v>915</v>
      </c>
    </row>
    <row r="135" spans="3:16" x14ac:dyDescent="0.25">
      <c r="C135" t="s">
        <v>114</v>
      </c>
      <c r="D135">
        <v>133</v>
      </c>
      <c r="E135" t="str">
        <f t="shared" si="4"/>
        <v xml:space="preserve">Indicazione di altezza superata </v>
      </c>
      <c r="F135" s="115">
        <f t="shared" si="5"/>
        <v>0</v>
      </c>
      <c r="H135">
        <v>132</v>
      </c>
    </row>
    <row r="136" spans="3:16" x14ac:dyDescent="0.25">
      <c r="D136">
        <v>134</v>
      </c>
      <c r="E136" t="str">
        <f t="shared" si="4"/>
        <v xml:space="preserve">Entrata al di sotto del volume utile </v>
      </c>
      <c r="F136" s="115">
        <f t="shared" si="5"/>
        <v>0</v>
      </c>
      <c r="H136">
        <v>133</v>
      </c>
      <c r="I136" t="s">
        <v>114</v>
      </c>
      <c r="J136" t="s">
        <v>502</v>
      </c>
      <c r="K136" t="s">
        <v>1155</v>
      </c>
      <c r="M136" t="s">
        <v>881</v>
      </c>
      <c r="O136" t="s">
        <v>910</v>
      </c>
    </row>
    <row r="137" spans="3:16" x14ac:dyDescent="0.25">
      <c r="D137">
        <v>135</v>
      </c>
      <c r="E137" t="str">
        <f t="shared" si="4"/>
        <v xml:space="preserve">Sovrapposizione pericolosa di </v>
      </c>
      <c r="F137" s="115">
        <f t="shared" si="5"/>
        <v>0</v>
      </c>
      <c r="H137">
        <v>134</v>
      </c>
      <c r="J137" t="s">
        <v>503</v>
      </c>
      <c r="K137" t="s">
        <v>1156</v>
      </c>
      <c r="M137" t="s">
        <v>882</v>
      </c>
      <c r="O137" t="s">
        <v>911</v>
      </c>
    </row>
    <row r="138" spans="3:16" x14ac:dyDescent="0.25">
      <c r="D138">
        <v>136</v>
      </c>
      <c r="E138" t="str">
        <f t="shared" si="4"/>
        <v xml:space="preserve">Non c'è spazio per il volume di riserva nell'altezza totale indicata </v>
      </c>
      <c r="F138" s="115">
        <f t="shared" si="5"/>
        <v>0</v>
      </c>
      <c r="H138">
        <v>135</v>
      </c>
      <c r="J138" t="s">
        <v>504</v>
      </c>
      <c r="K138" t="s">
        <v>600</v>
      </c>
      <c r="M138" t="s">
        <v>864</v>
      </c>
      <c r="O138" t="s">
        <v>863</v>
      </c>
    </row>
    <row r="139" spans="3:16" x14ac:dyDescent="0.25">
      <c r="D139">
        <v>137</v>
      </c>
      <c r="E139" t="str">
        <f t="shared" si="4"/>
        <v xml:space="preserve">Pozzo troppo alto di </v>
      </c>
      <c r="F139" s="115">
        <f t="shared" si="5"/>
        <v>0</v>
      </c>
      <c r="H139">
        <v>136</v>
      </c>
      <c r="J139" t="s">
        <v>505</v>
      </c>
      <c r="K139" t="s">
        <v>1158</v>
      </c>
      <c r="M139" t="s">
        <v>884</v>
      </c>
      <c r="O139" t="s">
        <v>913</v>
      </c>
    </row>
    <row r="140" spans="3:16" x14ac:dyDescent="0.25">
      <c r="D140">
        <v>138</v>
      </c>
      <c r="E140" t="str">
        <f t="shared" si="4"/>
        <v xml:space="preserve">Pozzo troppo basso altezza min BF11 non raggiunta per </v>
      </c>
      <c r="F140" s="115">
        <f t="shared" si="5"/>
        <v>0</v>
      </c>
      <c r="H140">
        <v>137</v>
      </c>
      <c r="J140" t="s">
        <v>506</v>
      </c>
      <c r="K140" t="s">
        <v>601</v>
      </c>
      <c r="M140" t="s">
        <v>862</v>
      </c>
      <c r="O140" t="s">
        <v>867</v>
      </c>
    </row>
    <row r="141" spans="3:16" x14ac:dyDescent="0.25">
      <c r="D141">
        <v>139</v>
      </c>
      <c r="E141" t="str">
        <f t="shared" si="4"/>
        <v xml:space="preserve">BF 12 non possibile </v>
      </c>
      <c r="F141" s="115" t="str">
        <f t="shared" si="5"/>
        <v xml:space="preserve">Pozzo troppo basso altezza min BF12 non raggiunta per </v>
      </c>
      <c r="H141">
        <v>138</v>
      </c>
      <c r="J141" t="s">
        <v>507</v>
      </c>
      <c r="K141" t="s">
        <v>602</v>
      </c>
      <c r="M141" t="s">
        <v>868</v>
      </c>
      <c r="O141" t="s">
        <v>865</v>
      </c>
    </row>
    <row r="142" spans="3:16" x14ac:dyDescent="0.25">
      <c r="D142">
        <v>140</v>
      </c>
      <c r="E142" t="str">
        <f t="shared" si="4"/>
        <v xml:space="preserve">Condotto di mandata DN 100 non possibile </v>
      </c>
      <c r="F142" s="115" t="str">
        <f t="shared" si="5"/>
        <v xml:space="preserve">Condotto di mandata DN 150 non possibile </v>
      </c>
      <c r="H142">
        <v>139</v>
      </c>
      <c r="J142" t="s">
        <v>508</v>
      </c>
      <c r="K142" t="s">
        <v>1152</v>
      </c>
      <c r="L142" t="s">
        <v>650</v>
      </c>
      <c r="M142" t="s">
        <v>889</v>
      </c>
      <c r="N142" t="s">
        <v>869</v>
      </c>
      <c r="O142" t="s">
        <v>916</v>
      </c>
      <c r="P142" t="s">
        <v>918</v>
      </c>
    </row>
    <row r="143" spans="3:16" x14ac:dyDescent="0.25">
      <c r="D143">
        <v>141</v>
      </c>
      <c r="E143" t="str">
        <f t="shared" si="4"/>
        <v xml:space="preserve">Pompa troppo grande </v>
      </c>
      <c r="F143" s="115" t="str">
        <f t="shared" si="5"/>
        <v xml:space="preserve">Impianto doppio non possibile </v>
      </c>
      <c r="H143">
        <v>140</v>
      </c>
      <c r="J143" t="s">
        <v>509</v>
      </c>
      <c r="K143" t="s">
        <v>1161</v>
      </c>
      <c r="L143" t="s">
        <v>649</v>
      </c>
      <c r="M143" t="s">
        <v>892</v>
      </c>
      <c r="N143" t="s">
        <v>890</v>
      </c>
      <c r="O143" t="s">
        <v>917</v>
      </c>
      <c r="P143" t="s">
        <v>919</v>
      </c>
    </row>
    <row r="144" spans="3:16" x14ac:dyDescent="0.25">
      <c r="D144">
        <v>142</v>
      </c>
      <c r="E144">
        <f t="shared" si="4"/>
        <v>0</v>
      </c>
      <c r="F144" s="115">
        <f t="shared" si="5"/>
        <v>0</v>
      </c>
      <c r="H144">
        <v>141</v>
      </c>
      <c r="J144" t="s">
        <v>510</v>
      </c>
      <c r="K144" t="s">
        <v>1160</v>
      </c>
      <c r="L144" t="s">
        <v>1153</v>
      </c>
      <c r="M144" t="s">
        <v>886</v>
      </c>
      <c r="N144" t="s">
        <v>891</v>
      </c>
      <c r="O144" t="s">
        <v>915</v>
      </c>
      <c r="P144" t="s">
        <v>920</v>
      </c>
    </row>
    <row r="145" spans="3:16" x14ac:dyDescent="0.25">
      <c r="C145" t="s">
        <v>115</v>
      </c>
      <c r="D145">
        <v>143</v>
      </c>
      <c r="E145" t="str">
        <f t="shared" si="4"/>
        <v xml:space="preserve">Indicazione di altezza superata </v>
      </c>
      <c r="F145" s="115">
        <f t="shared" si="5"/>
        <v>0</v>
      </c>
      <c r="H145">
        <v>142</v>
      </c>
    </row>
    <row r="146" spans="3:16" x14ac:dyDescent="0.25">
      <c r="D146">
        <v>144</v>
      </c>
      <c r="E146" t="str">
        <f t="shared" si="4"/>
        <v xml:space="preserve">Entrata al di sotto del volume utile </v>
      </c>
      <c r="F146" s="115">
        <f t="shared" si="5"/>
        <v>0</v>
      </c>
      <c r="H146">
        <v>143</v>
      </c>
      <c r="I146" t="s">
        <v>115</v>
      </c>
      <c r="J146" t="s">
        <v>511</v>
      </c>
      <c r="K146" t="s">
        <v>1155</v>
      </c>
      <c r="M146" t="s">
        <v>881</v>
      </c>
      <c r="O146" t="s">
        <v>910</v>
      </c>
    </row>
    <row r="147" spans="3:16" x14ac:dyDescent="0.25">
      <c r="D147">
        <v>145</v>
      </c>
      <c r="E147" t="str">
        <f t="shared" si="4"/>
        <v xml:space="preserve">Sovrapposizione pericolosa di </v>
      </c>
      <c r="F147" s="115">
        <f t="shared" si="5"/>
        <v>0</v>
      </c>
      <c r="H147">
        <v>144</v>
      </c>
      <c r="J147" t="s">
        <v>512</v>
      </c>
      <c r="K147" t="s">
        <v>1156</v>
      </c>
      <c r="M147" t="s">
        <v>882</v>
      </c>
      <c r="O147" t="s">
        <v>911</v>
      </c>
    </row>
    <row r="148" spans="3:16" x14ac:dyDescent="0.25">
      <c r="D148">
        <v>146</v>
      </c>
      <c r="E148" t="str">
        <f t="shared" si="4"/>
        <v xml:space="preserve">Non c'è spazio per il volume di riserva nell'altezza totale indicata </v>
      </c>
      <c r="F148" s="115">
        <f t="shared" si="5"/>
        <v>0</v>
      </c>
      <c r="H148">
        <v>145</v>
      </c>
      <c r="J148" t="s">
        <v>513</v>
      </c>
      <c r="K148" t="s">
        <v>600</v>
      </c>
      <c r="M148" t="s">
        <v>864</v>
      </c>
      <c r="O148" t="s">
        <v>863</v>
      </c>
    </row>
    <row r="149" spans="3:16" x14ac:dyDescent="0.25">
      <c r="D149">
        <v>147</v>
      </c>
      <c r="E149" t="str">
        <f t="shared" si="4"/>
        <v xml:space="preserve">Pozzo troppo alto di </v>
      </c>
      <c r="F149" s="115" t="str">
        <f t="shared" si="5"/>
        <v xml:space="preserve">Informarsi </v>
      </c>
      <c r="H149">
        <v>146</v>
      </c>
      <c r="J149" t="s">
        <v>514</v>
      </c>
      <c r="K149" t="s">
        <v>1158</v>
      </c>
      <c r="M149" t="s">
        <v>884</v>
      </c>
      <c r="O149" t="s">
        <v>913</v>
      </c>
    </row>
    <row r="150" spans="3:16" x14ac:dyDescent="0.25">
      <c r="D150">
        <v>148</v>
      </c>
      <c r="E150" t="str">
        <f t="shared" si="4"/>
        <v xml:space="preserve">Pozzo troppo basso altezza min BF11 non raggiunta per </v>
      </c>
      <c r="F150" s="115">
        <f t="shared" si="5"/>
        <v>0</v>
      </c>
      <c r="H150">
        <v>147</v>
      </c>
      <c r="J150" t="s">
        <v>515</v>
      </c>
      <c r="K150" t="s">
        <v>604</v>
      </c>
      <c r="L150" t="s">
        <v>652</v>
      </c>
      <c r="M150" t="s">
        <v>862</v>
      </c>
      <c r="N150" t="s">
        <v>893</v>
      </c>
      <c r="O150" t="s">
        <v>867</v>
      </c>
      <c r="P150" t="s">
        <v>922</v>
      </c>
    </row>
    <row r="151" spans="3:16" x14ac:dyDescent="0.25">
      <c r="D151">
        <v>149</v>
      </c>
      <c r="E151" t="str">
        <f t="shared" si="4"/>
        <v xml:space="preserve">Pozzo troppo basso altezza min BF12  non raggiunta per </v>
      </c>
      <c r="F151" s="115">
        <f t="shared" si="5"/>
        <v>0</v>
      </c>
      <c r="H151">
        <v>148</v>
      </c>
      <c r="J151" t="s">
        <v>516</v>
      </c>
      <c r="K151" t="s">
        <v>602</v>
      </c>
      <c r="M151" t="s">
        <v>868</v>
      </c>
      <c r="O151" t="s">
        <v>865</v>
      </c>
    </row>
    <row r="152" spans="3:16" x14ac:dyDescent="0.25">
      <c r="D152">
        <v>150</v>
      </c>
      <c r="E152" t="str">
        <f t="shared" si="4"/>
        <v xml:space="preserve">Pompa DN 150 non possibile </v>
      </c>
      <c r="F152" s="115" t="str">
        <f t="shared" si="5"/>
        <v xml:space="preserve">BF 11 doppio </v>
      </c>
      <c r="H152">
        <v>149</v>
      </c>
      <c r="J152" t="s">
        <v>517</v>
      </c>
      <c r="K152" t="s">
        <v>605</v>
      </c>
      <c r="M152" t="s">
        <v>869</v>
      </c>
      <c r="O152" t="s">
        <v>866</v>
      </c>
    </row>
    <row r="153" spans="3:16" x14ac:dyDescent="0.25">
      <c r="D153">
        <v>151</v>
      </c>
      <c r="E153" t="str">
        <f t="shared" si="4"/>
        <v xml:space="preserve">Impianto doppio non possibile </v>
      </c>
      <c r="F153" s="115" t="str">
        <f t="shared" si="5"/>
        <v xml:space="preserve">Coperchio troppo piccolo </v>
      </c>
      <c r="H153">
        <v>150</v>
      </c>
      <c r="J153" t="s">
        <v>518</v>
      </c>
      <c r="K153" t="s">
        <v>1162</v>
      </c>
      <c r="L153" t="s">
        <v>606</v>
      </c>
      <c r="M153" t="s">
        <v>894</v>
      </c>
      <c r="N153" t="s">
        <v>795</v>
      </c>
      <c r="O153" t="s">
        <v>921</v>
      </c>
      <c r="P153" t="s">
        <v>923</v>
      </c>
    </row>
    <row r="154" spans="3:16" x14ac:dyDescent="0.25">
      <c r="D154">
        <v>152</v>
      </c>
      <c r="E154">
        <f t="shared" si="4"/>
        <v>0</v>
      </c>
      <c r="F154" s="115">
        <f t="shared" si="5"/>
        <v>0</v>
      </c>
      <c r="H154">
        <v>151</v>
      </c>
      <c r="J154" t="s">
        <v>519</v>
      </c>
      <c r="K154" t="s">
        <v>1163</v>
      </c>
      <c r="L154" t="s">
        <v>607</v>
      </c>
      <c r="M154" t="s">
        <v>891</v>
      </c>
      <c r="N154" t="s">
        <v>796</v>
      </c>
      <c r="O154" t="s">
        <v>920</v>
      </c>
      <c r="P154" t="s">
        <v>924</v>
      </c>
    </row>
    <row r="155" spans="3:16" x14ac:dyDescent="0.25">
      <c r="C155" t="s">
        <v>118</v>
      </c>
      <c r="D155">
        <v>153</v>
      </c>
      <c r="E155" t="str">
        <f t="shared" si="4"/>
        <v xml:space="preserve">Indicazione di altezza superata </v>
      </c>
      <c r="F155" s="115">
        <f t="shared" si="5"/>
        <v>0</v>
      </c>
      <c r="H155">
        <v>152</v>
      </c>
    </row>
    <row r="156" spans="3:16" x14ac:dyDescent="0.25">
      <c r="D156">
        <v>154</v>
      </c>
      <c r="E156" t="str">
        <f t="shared" si="4"/>
        <v xml:space="preserve">Entrata al di sotto del volume utile </v>
      </c>
      <c r="F156" s="115">
        <f t="shared" si="5"/>
        <v>0</v>
      </c>
      <c r="H156">
        <v>153</v>
      </c>
      <c r="I156" t="s">
        <v>118</v>
      </c>
      <c r="J156" t="s">
        <v>520</v>
      </c>
      <c r="K156" t="s">
        <v>1155</v>
      </c>
      <c r="M156" t="s">
        <v>881</v>
      </c>
      <c r="O156" t="s">
        <v>910</v>
      </c>
    </row>
    <row r="157" spans="3:16" x14ac:dyDescent="0.25">
      <c r="D157">
        <v>155</v>
      </c>
      <c r="E157" t="str">
        <f t="shared" si="4"/>
        <v xml:space="preserve">Sovrapposizione pericolosa di </v>
      </c>
      <c r="F157" s="115">
        <f t="shared" si="5"/>
        <v>0</v>
      </c>
      <c r="H157">
        <v>154</v>
      </c>
      <c r="J157" t="s">
        <v>521</v>
      </c>
      <c r="K157" t="s">
        <v>1156</v>
      </c>
      <c r="M157" t="s">
        <v>882</v>
      </c>
      <c r="O157" t="s">
        <v>911</v>
      </c>
    </row>
    <row r="158" spans="3:16" x14ac:dyDescent="0.25">
      <c r="D158">
        <v>156</v>
      </c>
      <c r="E158" t="str">
        <f t="shared" si="4"/>
        <v xml:space="preserve">Non c'è spazio per il volume di riserva nell'altezza totale indicata </v>
      </c>
      <c r="F158" s="115">
        <f t="shared" si="5"/>
        <v>0</v>
      </c>
      <c r="H158">
        <v>155</v>
      </c>
      <c r="J158" t="s">
        <v>522</v>
      </c>
      <c r="K158" t="s">
        <v>600</v>
      </c>
      <c r="M158" t="s">
        <v>864</v>
      </c>
      <c r="O158" t="s">
        <v>863</v>
      </c>
    </row>
    <row r="159" spans="3:16" x14ac:dyDescent="0.25">
      <c r="D159">
        <v>157</v>
      </c>
      <c r="E159" t="str">
        <f t="shared" si="4"/>
        <v xml:space="preserve">Pozzo troppo alto di </v>
      </c>
      <c r="F159" s="115" t="str">
        <f t="shared" si="5"/>
        <v xml:space="preserve">Informarsi </v>
      </c>
      <c r="H159">
        <v>156</v>
      </c>
      <c r="J159" t="s">
        <v>523</v>
      </c>
      <c r="K159" t="s">
        <v>1158</v>
      </c>
      <c r="M159" t="s">
        <v>884</v>
      </c>
      <c r="O159" t="s">
        <v>913</v>
      </c>
    </row>
    <row r="160" spans="3:16" x14ac:dyDescent="0.25">
      <c r="D160">
        <v>158</v>
      </c>
      <c r="E160" t="str">
        <f t="shared" si="4"/>
        <v xml:space="preserve">Pozzo troppo basso altezza min BF11 non raggiunta per </v>
      </c>
      <c r="F160" s="115">
        <f t="shared" si="5"/>
        <v>0</v>
      </c>
      <c r="H160">
        <v>157</v>
      </c>
      <c r="J160" t="s">
        <v>524</v>
      </c>
      <c r="K160" t="s">
        <v>601</v>
      </c>
      <c r="L160" t="s">
        <v>652</v>
      </c>
      <c r="M160" t="s">
        <v>862</v>
      </c>
      <c r="N160" t="s">
        <v>893</v>
      </c>
      <c r="O160" t="s">
        <v>867</v>
      </c>
      <c r="P160" t="s">
        <v>922</v>
      </c>
    </row>
    <row r="161" spans="3:16" x14ac:dyDescent="0.25">
      <c r="D161">
        <v>159</v>
      </c>
      <c r="E161" t="str">
        <f t="shared" si="4"/>
        <v xml:space="preserve">Pozzo troppo basso altezza min BF12  non raggiunta per </v>
      </c>
      <c r="F161" s="115">
        <f t="shared" si="5"/>
        <v>0</v>
      </c>
      <c r="H161">
        <v>158</v>
      </c>
      <c r="J161" t="s">
        <v>525</v>
      </c>
      <c r="K161" t="s">
        <v>602</v>
      </c>
      <c r="M161" t="s">
        <v>870</v>
      </c>
      <c r="O161" t="s">
        <v>865</v>
      </c>
    </row>
    <row r="162" spans="3:16" x14ac:dyDescent="0.25">
      <c r="D162">
        <v>160</v>
      </c>
      <c r="E162" t="str">
        <f t="shared" si="4"/>
        <v xml:space="preserve">Pompa DN 150 non possibile </v>
      </c>
      <c r="F162" s="115">
        <f t="shared" si="5"/>
        <v>0</v>
      </c>
      <c r="H162">
        <v>159</v>
      </c>
      <c r="J162" t="s">
        <v>526</v>
      </c>
      <c r="K162" t="s">
        <v>605</v>
      </c>
      <c r="M162" t="s">
        <v>869</v>
      </c>
      <c r="O162" t="s">
        <v>866</v>
      </c>
    </row>
    <row r="163" spans="3:16" x14ac:dyDescent="0.25">
      <c r="D163">
        <v>161</v>
      </c>
      <c r="E163" t="str">
        <f t="shared" si="4"/>
        <v xml:space="preserve">Impianto doppio non possibile </v>
      </c>
      <c r="F163" s="115" t="str">
        <f t="shared" si="5"/>
        <v xml:space="preserve">Coperchio troppo piccolo </v>
      </c>
      <c r="H163">
        <v>160</v>
      </c>
      <c r="J163" t="s">
        <v>527</v>
      </c>
      <c r="K163" t="s">
        <v>1162</v>
      </c>
      <c r="M163" t="s">
        <v>894</v>
      </c>
      <c r="O163" t="s">
        <v>921</v>
      </c>
    </row>
    <row r="164" spans="3:16" x14ac:dyDescent="0.25">
      <c r="D164">
        <v>162</v>
      </c>
      <c r="E164">
        <f t="shared" si="4"/>
        <v>0</v>
      </c>
      <c r="F164" s="115">
        <f t="shared" si="5"/>
        <v>0</v>
      </c>
      <c r="H164">
        <v>161</v>
      </c>
      <c r="J164" t="s">
        <v>528</v>
      </c>
      <c r="K164" t="s">
        <v>1163</v>
      </c>
      <c r="L164" t="s">
        <v>607</v>
      </c>
      <c r="M164" t="s">
        <v>891</v>
      </c>
      <c r="N164" t="s">
        <v>796</v>
      </c>
      <c r="O164" t="s">
        <v>920</v>
      </c>
      <c r="P164" t="s">
        <v>924</v>
      </c>
    </row>
    <row r="165" spans="3:16" x14ac:dyDescent="0.25">
      <c r="C165" t="s">
        <v>119</v>
      </c>
      <c r="D165">
        <v>163</v>
      </c>
      <c r="E165" t="str">
        <f t="shared" si="4"/>
        <v xml:space="preserve">Indicazione di altezza superata </v>
      </c>
      <c r="F165" s="115">
        <f t="shared" si="5"/>
        <v>0</v>
      </c>
      <c r="H165">
        <v>162</v>
      </c>
    </row>
    <row r="166" spans="3:16" x14ac:dyDescent="0.25">
      <c r="D166">
        <v>164</v>
      </c>
      <c r="E166" t="str">
        <f t="shared" si="4"/>
        <v xml:space="preserve">Entrata al di sotto del volume utile </v>
      </c>
      <c r="F166" s="115">
        <f t="shared" si="5"/>
        <v>0</v>
      </c>
      <c r="H166">
        <v>163</v>
      </c>
      <c r="I166" t="s">
        <v>119</v>
      </c>
      <c r="J166" t="s">
        <v>529</v>
      </c>
      <c r="K166" t="s">
        <v>1155</v>
      </c>
      <c r="M166" t="s">
        <v>881</v>
      </c>
      <c r="O166" t="s">
        <v>910</v>
      </c>
    </row>
    <row r="167" spans="3:16" x14ac:dyDescent="0.25">
      <c r="D167">
        <v>165</v>
      </c>
      <c r="E167" t="str">
        <f t="shared" si="4"/>
        <v xml:space="preserve">Sovrapposizione pericolosa di </v>
      </c>
      <c r="F167" s="115">
        <f t="shared" si="5"/>
        <v>0</v>
      </c>
      <c r="H167">
        <v>164</v>
      </c>
      <c r="J167" t="s">
        <v>530</v>
      </c>
      <c r="K167" t="s">
        <v>1156</v>
      </c>
      <c r="M167" t="s">
        <v>882</v>
      </c>
      <c r="O167" t="s">
        <v>911</v>
      </c>
    </row>
    <row r="168" spans="3:16" x14ac:dyDescent="0.25">
      <c r="D168">
        <v>166</v>
      </c>
      <c r="E168" t="str">
        <f t="shared" si="4"/>
        <v xml:space="preserve">Non c'è spazio per il volume di riserva nell'altezza totale indicata </v>
      </c>
      <c r="F168" s="115">
        <f t="shared" si="5"/>
        <v>0</v>
      </c>
      <c r="H168">
        <v>165</v>
      </c>
      <c r="J168" t="s">
        <v>531</v>
      </c>
      <c r="K168" t="s">
        <v>600</v>
      </c>
      <c r="M168" t="s">
        <v>864</v>
      </c>
      <c r="O168" t="s">
        <v>863</v>
      </c>
    </row>
    <row r="169" spans="3:16" x14ac:dyDescent="0.25">
      <c r="D169">
        <v>167</v>
      </c>
      <c r="E169" t="str">
        <f t="shared" si="4"/>
        <v xml:space="preserve">Pozzo troppo alto di </v>
      </c>
      <c r="F169" s="115" t="str">
        <f t="shared" si="5"/>
        <v xml:space="preserve">Informarsi </v>
      </c>
      <c r="H169">
        <v>166</v>
      </c>
      <c r="J169" t="s">
        <v>532</v>
      </c>
      <c r="K169" t="s">
        <v>1158</v>
      </c>
      <c r="M169" t="s">
        <v>884</v>
      </c>
      <c r="O169" t="s">
        <v>913</v>
      </c>
    </row>
    <row r="170" spans="3:16" x14ac:dyDescent="0.25">
      <c r="D170">
        <v>168</v>
      </c>
      <c r="E170" t="str">
        <f t="shared" si="4"/>
        <v xml:space="preserve">Pozzo troppo basso altezza min BF11 non raggiunta per </v>
      </c>
      <c r="F170" s="115">
        <f t="shared" si="5"/>
        <v>0</v>
      </c>
      <c r="H170">
        <v>167</v>
      </c>
      <c r="J170" t="s">
        <v>533</v>
      </c>
      <c r="K170" t="s">
        <v>601</v>
      </c>
      <c r="L170" t="s">
        <v>652</v>
      </c>
      <c r="M170" t="s">
        <v>862</v>
      </c>
      <c r="N170" t="s">
        <v>893</v>
      </c>
      <c r="O170" t="s">
        <v>867</v>
      </c>
      <c r="P170" t="s">
        <v>922</v>
      </c>
    </row>
    <row r="171" spans="3:16" x14ac:dyDescent="0.25">
      <c r="D171">
        <v>169</v>
      </c>
      <c r="E171" t="str">
        <f t="shared" si="4"/>
        <v xml:space="preserve">Pozzo troppo basso altezza min BF12  non raggiunta per </v>
      </c>
      <c r="F171" s="115">
        <f t="shared" si="5"/>
        <v>0</v>
      </c>
      <c r="H171">
        <v>168</v>
      </c>
      <c r="J171" t="s">
        <v>534</v>
      </c>
      <c r="K171" t="s">
        <v>602</v>
      </c>
      <c r="M171" t="s">
        <v>868</v>
      </c>
      <c r="O171" t="s">
        <v>865</v>
      </c>
    </row>
    <row r="172" spans="3:16" x14ac:dyDescent="0.25">
      <c r="D172">
        <v>170</v>
      </c>
      <c r="E172" t="str">
        <f t="shared" si="4"/>
        <v xml:space="preserve">Superficie troppo grande </v>
      </c>
      <c r="F172" s="115">
        <f t="shared" si="5"/>
        <v>0</v>
      </c>
      <c r="H172">
        <v>169</v>
      </c>
      <c r="J172" t="s">
        <v>535</v>
      </c>
      <c r="K172" t="s">
        <v>605</v>
      </c>
      <c r="M172" t="s">
        <v>869</v>
      </c>
      <c r="O172" t="s">
        <v>866</v>
      </c>
    </row>
    <row r="173" spans="3:16" x14ac:dyDescent="0.25">
      <c r="D173">
        <v>171</v>
      </c>
      <c r="E173" t="str">
        <f t="shared" si="4"/>
        <v xml:space="preserve">Pompa per impianto doppio troppo grande </v>
      </c>
      <c r="F173" s="115" t="str">
        <f t="shared" si="5"/>
        <v xml:space="preserve">Coperchio troppo piccolo </v>
      </c>
      <c r="H173">
        <v>170</v>
      </c>
      <c r="J173" t="s">
        <v>536</v>
      </c>
      <c r="K173" t="s">
        <v>1164</v>
      </c>
      <c r="M173" t="s">
        <v>895</v>
      </c>
      <c r="O173" t="s">
        <v>925</v>
      </c>
    </row>
    <row r="174" spans="3:16" x14ac:dyDescent="0.25">
      <c r="D174">
        <v>172</v>
      </c>
      <c r="E174">
        <f t="shared" si="4"/>
        <v>0</v>
      </c>
      <c r="F174" s="115">
        <f t="shared" si="5"/>
        <v>0</v>
      </c>
      <c r="H174">
        <v>171</v>
      </c>
      <c r="J174" t="s">
        <v>537</v>
      </c>
      <c r="K174" t="s">
        <v>1165</v>
      </c>
      <c r="L174" t="s">
        <v>607</v>
      </c>
      <c r="M174" t="s">
        <v>896</v>
      </c>
      <c r="N174" t="s">
        <v>897</v>
      </c>
      <c r="O174" t="s">
        <v>926</v>
      </c>
      <c r="P174" t="s">
        <v>924</v>
      </c>
    </row>
    <row r="175" spans="3:16" x14ac:dyDescent="0.25">
      <c r="C175" t="s">
        <v>116</v>
      </c>
      <c r="D175">
        <v>173</v>
      </c>
      <c r="E175" t="str">
        <f t="shared" si="4"/>
        <v xml:space="preserve">Indicazione di altezza superata </v>
      </c>
      <c r="F175" s="115">
        <f t="shared" si="5"/>
        <v>0</v>
      </c>
      <c r="H175">
        <v>172</v>
      </c>
      <c r="K175" s="375" t="s">
        <v>1919</v>
      </c>
    </row>
    <row r="176" spans="3:16" x14ac:dyDescent="0.25">
      <c r="D176">
        <v>174</v>
      </c>
      <c r="E176" t="str">
        <f t="shared" si="4"/>
        <v xml:space="preserve">Entrata al di sotto del volume utile </v>
      </c>
      <c r="F176" s="115">
        <f t="shared" si="5"/>
        <v>0</v>
      </c>
      <c r="H176">
        <v>173</v>
      </c>
      <c r="I176" t="s">
        <v>116</v>
      </c>
      <c r="J176" t="s">
        <v>538</v>
      </c>
      <c r="K176" t="s">
        <v>1155</v>
      </c>
      <c r="M176" t="s">
        <v>881</v>
      </c>
      <c r="O176" t="s">
        <v>910</v>
      </c>
    </row>
    <row r="177" spans="3:16" x14ac:dyDescent="0.25">
      <c r="D177">
        <v>175</v>
      </c>
      <c r="E177" t="str">
        <f t="shared" si="4"/>
        <v xml:space="preserve">Sovrapposizione pericolosa di </v>
      </c>
      <c r="F177" s="115">
        <f t="shared" si="5"/>
        <v>0</v>
      </c>
      <c r="H177">
        <v>174</v>
      </c>
      <c r="J177" t="s">
        <v>539</v>
      </c>
      <c r="K177" t="s">
        <v>1156</v>
      </c>
      <c r="M177" t="s">
        <v>882</v>
      </c>
      <c r="O177" t="s">
        <v>911</v>
      </c>
    </row>
    <row r="178" spans="3:16" x14ac:dyDescent="0.25">
      <c r="D178">
        <v>176</v>
      </c>
      <c r="E178" t="str">
        <f t="shared" si="4"/>
        <v xml:space="preserve">Non c'è spazio per il volume di riserva nell'altezza totale indicata </v>
      </c>
      <c r="F178" s="115">
        <f t="shared" si="5"/>
        <v>0</v>
      </c>
      <c r="H178">
        <v>175</v>
      </c>
      <c r="J178" t="s">
        <v>540</v>
      </c>
      <c r="K178" t="s">
        <v>600</v>
      </c>
      <c r="M178" t="s">
        <v>864</v>
      </c>
      <c r="O178" t="s">
        <v>863</v>
      </c>
    </row>
    <row r="179" spans="3:16" x14ac:dyDescent="0.25">
      <c r="D179">
        <v>177</v>
      </c>
      <c r="E179" t="str">
        <f t="shared" si="4"/>
        <v xml:space="preserve">Pozzo troppo alto di </v>
      </c>
      <c r="F179" s="115" t="str">
        <f t="shared" si="5"/>
        <v xml:space="preserve">Informarsi </v>
      </c>
      <c r="H179">
        <v>176</v>
      </c>
      <c r="J179" t="s">
        <v>541</v>
      </c>
      <c r="K179" t="s">
        <v>1158</v>
      </c>
      <c r="M179" t="s">
        <v>884</v>
      </c>
      <c r="O179" t="s">
        <v>913</v>
      </c>
    </row>
    <row r="180" spans="3:16" x14ac:dyDescent="0.25">
      <c r="D180">
        <v>178</v>
      </c>
      <c r="E180" t="str">
        <f t="shared" si="4"/>
        <v xml:space="preserve">Pozzo troppo basso altezza min BF11 non raggiunta per </v>
      </c>
      <c r="F180" s="115">
        <f t="shared" si="5"/>
        <v>0</v>
      </c>
      <c r="H180">
        <v>177</v>
      </c>
      <c r="J180" t="s">
        <v>542</v>
      </c>
      <c r="K180" t="s">
        <v>601</v>
      </c>
      <c r="L180" t="s">
        <v>652</v>
      </c>
      <c r="M180" t="s">
        <v>862</v>
      </c>
      <c r="N180" t="s">
        <v>893</v>
      </c>
      <c r="O180" t="s">
        <v>867</v>
      </c>
      <c r="P180" t="s">
        <v>922</v>
      </c>
    </row>
    <row r="181" spans="3:16" x14ac:dyDescent="0.25">
      <c r="D181">
        <v>179</v>
      </c>
      <c r="E181" t="str">
        <f t="shared" si="4"/>
        <v xml:space="preserve">Pozzo troppo basso altezza min BF12  non raggiunta per </v>
      </c>
      <c r="F181" s="115">
        <f t="shared" si="5"/>
        <v>0</v>
      </c>
      <c r="H181">
        <v>178</v>
      </c>
      <c r="J181" t="s">
        <v>543</v>
      </c>
      <c r="K181" t="s">
        <v>602</v>
      </c>
      <c r="M181" t="s">
        <v>868</v>
      </c>
      <c r="O181" t="s">
        <v>865</v>
      </c>
    </row>
    <row r="182" spans="3:16" x14ac:dyDescent="0.25">
      <c r="D182">
        <v>180</v>
      </c>
      <c r="E182" s="192" t="str">
        <f t="shared" si="4"/>
        <v xml:space="preserve">Superficie troppo grande </v>
      </c>
      <c r="F182" s="115">
        <f t="shared" si="5"/>
        <v>0</v>
      </c>
      <c r="H182">
        <v>179</v>
      </c>
      <c r="J182" t="s">
        <v>544</v>
      </c>
      <c r="K182" t="s">
        <v>605</v>
      </c>
      <c r="M182" t="s">
        <v>869</v>
      </c>
      <c r="O182" t="s">
        <v>866</v>
      </c>
    </row>
    <row r="183" spans="3:16" x14ac:dyDescent="0.25">
      <c r="D183">
        <v>181</v>
      </c>
      <c r="E183" t="str">
        <f t="shared" si="4"/>
        <v xml:space="preserve">Pompa per impianto doppio troppo grande, rispettare le dimensioni </v>
      </c>
      <c r="F183" s="115" t="str">
        <f t="shared" si="5"/>
        <v xml:space="preserve">Coperchio troppo piccolo </v>
      </c>
      <c r="H183">
        <v>180</v>
      </c>
      <c r="J183" t="s">
        <v>545</v>
      </c>
      <c r="K183" t="s">
        <v>1154</v>
      </c>
      <c r="M183" t="s">
        <v>895</v>
      </c>
      <c r="O183" t="s">
        <v>925</v>
      </c>
    </row>
    <row r="184" spans="3:16" x14ac:dyDescent="0.25">
      <c r="D184">
        <v>182</v>
      </c>
      <c r="E184">
        <f t="shared" si="4"/>
        <v>0</v>
      </c>
      <c r="F184" s="115">
        <f t="shared" si="5"/>
        <v>0</v>
      </c>
      <c r="H184">
        <v>181</v>
      </c>
      <c r="J184" t="s">
        <v>546</v>
      </c>
      <c r="K184" t="s">
        <v>1166</v>
      </c>
      <c r="L184" t="s">
        <v>607</v>
      </c>
      <c r="M184" t="s">
        <v>898</v>
      </c>
      <c r="N184" t="s">
        <v>897</v>
      </c>
      <c r="O184" t="s">
        <v>927</v>
      </c>
      <c r="P184" t="s">
        <v>924</v>
      </c>
    </row>
    <row r="185" spans="3:16" x14ac:dyDescent="0.25">
      <c r="C185" t="s">
        <v>117</v>
      </c>
      <c r="D185">
        <v>183</v>
      </c>
      <c r="E185" t="str">
        <f t="shared" si="4"/>
        <v xml:space="preserve">Indicazione di altezza superata </v>
      </c>
      <c r="F185" s="115">
        <f t="shared" si="5"/>
        <v>0</v>
      </c>
      <c r="H185">
        <v>182</v>
      </c>
      <c r="K185" s="375" t="s">
        <v>1919</v>
      </c>
    </row>
    <row r="186" spans="3:16" x14ac:dyDescent="0.25">
      <c r="D186">
        <v>184</v>
      </c>
      <c r="E186" t="str">
        <f t="shared" si="4"/>
        <v xml:space="preserve">Entrata al di sotto del volume utile </v>
      </c>
      <c r="F186" s="115">
        <f t="shared" si="5"/>
        <v>0</v>
      </c>
      <c r="H186">
        <v>183</v>
      </c>
      <c r="I186" t="s">
        <v>117</v>
      </c>
      <c r="J186" t="s">
        <v>547</v>
      </c>
      <c r="K186" t="s">
        <v>1155</v>
      </c>
      <c r="M186" t="s">
        <v>881</v>
      </c>
      <c r="O186" t="s">
        <v>910</v>
      </c>
    </row>
    <row r="187" spans="3:16" x14ac:dyDescent="0.25">
      <c r="D187">
        <v>185</v>
      </c>
      <c r="E187" t="str">
        <f t="shared" si="4"/>
        <v xml:space="preserve">Sovrapposizione pericolosa di </v>
      </c>
      <c r="F187" s="115">
        <f t="shared" si="5"/>
        <v>0</v>
      </c>
      <c r="H187">
        <v>184</v>
      </c>
      <c r="J187" t="s">
        <v>548</v>
      </c>
      <c r="K187" t="s">
        <v>1156</v>
      </c>
      <c r="M187" t="s">
        <v>882</v>
      </c>
      <c r="O187" t="s">
        <v>911</v>
      </c>
    </row>
    <row r="188" spans="3:16" x14ac:dyDescent="0.25">
      <c r="D188">
        <v>186</v>
      </c>
      <c r="E188" t="str">
        <f t="shared" si="4"/>
        <v xml:space="preserve">Non c'è spazio per il volume di riserva nell'altezza totale indicata </v>
      </c>
      <c r="F188" s="115">
        <f t="shared" si="5"/>
        <v>0</v>
      </c>
      <c r="H188">
        <v>185</v>
      </c>
      <c r="J188" t="s">
        <v>549</v>
      </c>
      <c r="K188" t="s">
        <v>600</v>
      </c>
      <c r="M188" t="s">
        <v>864</v>
      </c>
      <c r="O188" t="s">
        <v>863</v>
      </c>
    </row>
    <row r="189" spans="3:16" x14ac:dyDescent="0.25">
      <c r="D189">
        <v>187</v>
      </c>
      <c r="E189" t="str">
        <f t="shared" si="4"/>
        <v xml:space="preserve">Pozzo troppo alto di </v>
      </c>
      <c r="F189" s="115" t="str">
        <f t="shared" si="5"/>
        <v xml:space="preserve">Informarsi </v>
      </c>
      <c r="H189">
        <v>186</v>
      </c>
      <c r="J189" t="s">
        <v>550</v>
      </c>
      <c r="K189" t="s">
        <v>1158</v>
      </c>
      <c r="M189" t="s">
        <v>884</v>
      </c>
      <c r="O189" t="s">
        <v>913</v>
      </c>
    </row>
    <row r="190" spans="3:16" x14ac:dyDescent="0.25">
      <c r="D190">
        <v>188</v>
      </c>
      <c r="E190" t="str">
        <f t="shared" si="4"/>
        <v xml:space="preserve">Pozzo troppo basso altezza min BF11 non raggiunta per </v>
      </c>
      <c r="F190" s="115">
        <f t="shared" si="5"/>
        <v>0</v>
      </c>
      <c r="H190">
        <v>187</v>
      </c>
      <c r="J190" t="s">
        <v>551</v>
      </c>
      <c r="K190" t="s">
        <v>601</v>
      </c>
      <c r="L190" t="s">
        <v>652</v>
      </c>
      <c r="M190" t="s">
        <v>862</v>
      </c>
      <c r="N190" t="s">
        <v>893</v>
      </c>
      <c r="O190" t="s">
        <v>867</v>
      </c>
      <c r="P190" t="s">
        <v>922</v>
      </c>
    </row>
    <row r="191" spans="3:16" x14ac:dyDescent="0.25">
      <c r="D191">
        <v>189</v>
      </c>
      <c r="E191" t="str">
        <f t="shared" si="4"/>
        <v xml:space="preserve">Pozzo troppo basso altezza min BF12  non raggiunta per </v>
      </c>
      <c r="F191" s="115">
        <f t="shared" si="5"/>
        <v>0</v>
      </c>
      <c r="H191">
        <v>188</v>
      </c>
      <c r="J191" t="s">
        <v>552</v>
      </c>
      <c r="K191" t="s">
        <v>602</v>
      </c>
      <c r="M191" t="s">
        <v>868</v>
      </c>
      <c r="O191" t="s">
        <v>865</v>
      </c>
    </row>
    <row r="192" spans="3:16" x14ac:dyDescent="0.25">
      <c r="D192">
        <v>190</v>
      </c>
      <c r="E192" t="str">
        <f t="shared" si="4"/>
        <v xml:space="preserve">Superficie troppo grande </v>
      </c>
      <c r="F192" s="115">
        <f t="shared" si="5"/>
        <v>0</v>
      </c>
      <c r="H192">
        <v>189</v>
      </c>
      <c r="J192" t="s">
        <v>553</v>
      </c>
      <c r="K192" t="s">
        <v>605</v>
      </c>
      <c r="M192" t="s">
        <v>869</v>
      </c>
      <c r="O192" t="s">
        <v>866</v>
      </c>
    </row>
    <row r="193" spans="4:16" x14ac:dyDescent="0.25">
      <c r="D193">
        <v>191</v>
      </c>
      <c r="E193" t="str">
        <f t="shared" si="4"/>
        <v xml:space="preserve">Coperchio troppo piccolo </v>
      </c>
      <c r="F193" s="115">
        <f t="shared" si="5"/>
        <v>0</v>
      </c>
      <c r="H193">
        <v>190</v>
      </c>
      <c r="J193" t="s">
        <v>554</v>
      </c>
      <c r="K193" t="s">
        <v>1154</v>
      </c>
      <c r="M193" t="s">
        <v>895</v>
      </c>
      <c r="O193" t="s">
        <v>925</v>
      </c>
    </row>
    <row r="194" spans="4:16" x14ac:dyDescent="0.25">
      <c r="D194">
        <v>192</v>
      </c>
      <c r="E194">
        <f t="shared" si="4"/>
        <v>0</v>
      </c>
      <c r="F194" s="115">
        <f t="shared" si="5"/>
        <v>0</v>
      </c>
      <c r="H194">
        <v>191</v>
      </c>
      <c r="J194" t="s">
        <v>555</v>
      </c>
      <c r="K194" t="s">
        <v>1167</v>
      </c>
      <c r="M194" t="s">
        <v>897</v>
      </c>
      <c r="O194" t="s">
        <v>924</v>
      </c>
    </row>
    <row r="195" spans="4:16" x14ac:dyDescent="0.25">
      <c r="D195">
        <v>193</v>
      </c>
      <c r="E195">
        <f t="shared" ref="E195:E258" si="6">IF($C$3=TRUE,VLOOKUP(D195,$H$4:$P$315,4,0),IF($C$4=TRUE,VLOOKUP(D195,$H$4:$P$315,6,0),IF($C$5=TRUE,VLOOKUP(D195,$H$4:$P$315,8,0),"")))</f>
        <v>0</v>
      </c>
      <c r="F195" s="115">
        <f t="shared" ref="F195:F258" si="7">IF($C$3=TRUE,VLOOKUP(D195,$H$4:$P$315,5,0),IF($C$4=TRUE,VLOOKUP(D195,$H$4:$P$315,7,0),IF($C$5=TRUE,VLOOKUP(D195,$H$4:$P$315,9,0),"")))</f>
        <v>0</v>
      </c>
      <c r="H195">
        <v>192</v>
      </c>
    </row>
    <row r="196" spans="4:16" x14ac:dyDescent="0.25">
      <c r="D196">
        <v>194</v>
      </c>
      <c r="E196">
        <f t="shared" si="6"/>
        <v>0</v>
      </c>
      <c r="F196" s="115">
        <f t="shared" si="7"/>
        <v>0</v>
      </c>
      <c r="H196">
        <v>193</v>
      </c>
    </row>
    <row r="197" spans="4:16" x14ac:dyDescent="0.25">
      <c r="D197">
        <v>195</v>
      </c>
      <c r="E197" t="str">
        <f t="shared" si="6"/>
        <v>Prolunga pozzo in mm</v>
      </c>
      <c r="F197" s="115" t="str">
        <f t="shared" si="7"/>
        <v>Prolunga pozzo (di</v>
      </c>
      <c r="H197">
        <v>194</v>
      </c>
    </row>
    <row r="198" spans="4:16" x14ac:dyDescent="0.25">
      <c r="D198">
        <v>196</v>
      </c>
      <c r="E198" t="str">
        <f t="shared" si="6"/>
        <v>Adeguare la tubazione di mandata alla</v>
      </c>
      <c r="F198" s="115">
        <f t="shared" si="7"/>
        <v>0</v>
      </c>
      <c r="H198">
        <v>195</v>
      </c>
      <c r="J198" t="s">
        <v>556</v>
      </c>
      <c r="K198" s="47" t="s">
        <v>608</v>
      </c>
      <c r="L198" t="s">
        <v>609</v>
      </c>
      <c r="M198" t="s">
        <v>871</v>
      </c>
      <c r="N198" t="s">
        <v>872</v>
      </c>
      <c r="O198" t="s">
        <v>797</v>
      </c>
      <c r="P198" t="s">
        <v>798</v>
      </c>
    </row>
    <row r="199" spans="4:16" x14ac:dyDescent="0.25">
      <c r="D199">
        <v>197</v>
      </c>
      <c r="E199" t="str">
        <f t="shared" si="6"/>
        <v xml:space="preserve"> quota di progetto in m </v>
      </c>
      <c r="F199" s="115">
        <f t="shared" si="7"/>
        <v>0</v>
      </c>
      <c r="H199">
        <v>196</v>
      </c>
      <c r="J199" t="s">
        <v>557</v>
      </c>
      <c r="K199" s="375" t="str">
        <f>IF($G$261=2,K252,"Druckleitung von OK Deckel ")</f>
        <v>Sohle Druckleitung (M.ü.M.)</v>
      </c>
      <c r="L199" s="375"/>
      <c r="M199" s="375" t="str">
        <f>IF($G$261=2,M252,"Cond. refoulement du bord supérieur du couvercle ")</f>
        <v xml:space="preserve">Adapter la conduite de refoulement aux </v>
      </c>
      <c r="N199" s="375"/>
      <c r="O199" s="375" t="str">
        <f>IF($G$261=2,O252,"Condotto di mandata di coperchio BS ")</f>
        <v>Adeguare la tubazione di mandata alla</v>
      </c>
    </row>
    <row r="200" spans="4:16" x14ac:dyDescent="0.25">
      <c r="D200">
        <v>198</v>
      </c>
      <c r="E200" t="str">
        <f t="shared" si="6"/>
        <v xml:space="preserve">Adeguare la bocchetta di entrata più bassa alla </v>
      </c>
      <c r="F200" s="115">
        <f t="shared" si="7"/>
        <v>0</v>
      </c>
      <c r="H200">
        <v>197</v>
      </c>
      <c r="J200" t="s">
        <v>558</v>
      </c>
      <c r="K200" s="376" t="str">
        <f>IF($G$261=2,K253,"nach unten korrigieren in mm")</f>
        <v xml:space="preserve">anpassen </v>
      </c>
      <c r="L200" s="376"/>
      <c r="M200" s="376" t="str">
        <f>IF($G$261=2,M253,"Corriger vers le bas  [mm]")</f>
        <v xml:space="preserve">cotes de plan en m </v>
      </c>
      <c r="N200" s="376"/>
      <c r="O200" s="376" t="str">
        <f>IF($G$261=2,O253,"correggere verso il basso [mm]")</f>
        <v xml:space="preserve"> quota di progetto in m </v>
      </c>
    </row>
    <row r="201" spans="4:16" x14ac:dyDescent="0.25">
      <c r="D201">
        <v>199</v>
      </c>
      <c r="E201" t="str">
        <f t="shared" si="6"/>
        <v xml:space="preserve">quota di progetto in m </v>
      </c>
      <c r="F201" s="115">
        <f t="shared" si="7"/>
        <v>0</v>
      </c>
      <c r="H201">
        <v>198</v>
      </c>
      <c r="J201" t="s">
        <v>559</v>
      </c>
      <c r="K201" s="375" t="str">
        <f>IF($G$261=2,K254,"Unterster Einlauf  von OK Deckel  in mm")</f>
        <v>Sohle unterster Einlauf (M.ü.M.)</v>
      </c>
      <c r="L201" s="375"/>
      <c r="M201" s="375" t="str">
        <f>IF($G$261=2,M254,"Entrée la plus basse du bord supérieur du couvercle")</f>
        <v xml:space="preserve">Adapter l'arrivée la plus basse aux </v>
      </c>
      <c r="N201" s="375"/>
      <c r="O201" s="375" t="str">
        <f>IF($G$261=2,O254,"Entrata inferiore di coperchio BS in mm")</f>
        <v xml:space="preserve">Adeguare la bocchetta di entrata più bassa alla </v>
      </c>
    </row>
    <row r="202" spans="4:16" x14ac:dyDescent="0.25">
      <c r="D202">
        <v>200</v>
      </c>
      <c r="E202" t="str">
        <f t="shared" si="6"/>
        <v>Prolungare il pozzo fino all'entrata inferiore</v>
      </c>
      <c r="F202" s="115">
        <f t="shared" si="7"/>
        <v>0</v>
      </c>
      <c r="H202">
        <v>199</v>
      </c>
      <c r="J202" t="s">
        <v>560</v>
      </c>
      <c r="K202" s="375" t="str">
        <f>IF($G$261=2,K255,"nach unten korrigieren ")</f>
        <v xml:space="preserve">anpassen </v>
      </c>
      <c r="L202" s="375"/>
      <c r="M202" s="375" t="str">
        <f>IF($G$261=2,M255,"Corriger vers le bas ")</f>
        <v xml:space="preserve">cotes de plan en m </v>
      </c>
      <c r="N202" s="375"/>
      <c r="O202" s="375" t="str">
        <f>IF($G$261=2,O255,"correggere verso il basso ")</f>
        <v xml:space="preserve">quota di progetto in m </v>
      </c>
    </row>
    <row r="203" spans="4:16" x14ac:dyDescent="0.25">
      <c r="D203">
        <v>201</v>
      </c>
      <c r="E203">
        <f t="shared" si="6"/>
        <v>0</v>
      </c>
      <c r="F203" s="115">
        <f t="shared" si="7"/>
        <v>0</v>
      </c>
      <c r="H203">
        <v>200</v>
      </c>
      <c r="J203" t="s">
        <v>561</v>
      </c>
      <c r="K203" s="47" t="s">
        <v>309</v>
      </c>
      <c r="L203" s="47"/>
      <c r="M203" t="s">
        <v>799</v>
      </c>
      <c r="O203" t="s">
        <v>800</v>
      </c>
    </row>
    <row r="204" spans="4:16" x14ac:dyDescent="0.25">
      <c r="D204">
        <v>202</v>
      </c>
      <c r="E204" t="str">
        <f t="shared" si="6"/>
        <v>mm fino al segmento successivo</v>
      </c>
      <c r="F204" s="115">
        <f t="shared" si="7"/>
        <v>0</v>
      </c>
      <c r="H204">
        <v>201</v>
      </c>
    </row>
    <row r="205" spans="4:16" x14ac:dyDescent="0.25">
      <c r="D205">
        <v>203</v>
      </c>
      <c r="E205" t="str">
        <f t="shared" si="6"/>
        <v xml:space="preserve">Definire livello e apparecchiatura con </v>
      </c>
      <c r="F205" s="115">
        <f t="shared" si="7"/>
        <v>0</v>
      </c>
      <c r="H205">
        <v>202</v>
      </c>
      <c r="J205" t="s">
        <v>562</v>
      </c>
      <c r="K205" t="s">
        <v>266</v>
      </c>
      <c r="M205" t="s">
        <v>801</v>
      </c>
      <c r="O205" t="s">
        <v>802</v>
      </c>
    </row>
    <row r="206" spans="4:16" x14ac:dyDescent="0.25">
      <c r="D206">
        <v>204</v>
      </c>
      <c r="E206" t="str">
        <f t="shared" si="6"/>
        <v>quota di progetto in m</v>
      </c>
      <c r="F206" s="115">
        <f t="shared" si="7"/>
        <v>0</v>
      </c>
      <c r="H206">
        <v>203</v>
      </c>
      <c r="J206" t="s">
        <v>563</v>
      </c>
      <c r="K206" s="375" t="str">
        <f>IF($G$261=2,K256,"Niveau u. Apparat  von OK Deckel  in mm")</f>
        <v xml:space="preserve">Niveau tiefster Apparat  mit </v>
      </c>
      <c r="L206" s="375"/>
      <c r="M206" s="375" t="str">
        <f>IF($G$261=2,M256,"Niveau sous appareil du bord inférieur du couvercle en mm")</f>
        <v xml:space="preserve">Définir le niveau et l'appareil à l'aide des </v>
      </c>
      <c r="N206" s="375"/>
      <c r="O206" s="375" t="str">
        <f>IF($G$261=2,O256,"Livello e apparecchio di coperchio BS in mm")</f>
        <v xml:space="preserve">Definire livello e apparecchiatura con </v>
      </c>
    </row>
    <row r="207" spans="4:16" x14ac:dyDescent="0.25">
      <c r="D207">
        <v>205</v>
      </c>
      <c r="E207" t="str">
        <f t="shared" si="6"/>
        <v xml:space="preserve">Limitazione in profondità del pozzo con </v>
      </c>
      <c r="F207" s="115">
        <f t="shared" si="7"/>
        <v>0</v>
      </c>
      <c r="H207">
        <v>204</v>
      </c>
      <c r="J207" t="s">
        <v>564</v>
      </c>
      <c r="K207" s="375" t="str">
        <f>IF($G$261=2,K257,"nach unten korrigieren")</f>
        <v>Plankote M.ü.M. definieren</v>
      </c>
      <c r="L207" s="375"/>
      <c r="M207" s="375" t="str">
        <f>IF($G$261=2,M257,"Corriger vers le bas")</f>
        <v>cotes de plan en m</v>
      </c>
      <c r="N207" s="375"/>
      <c r="O207" s="375" t="str">
        <f>IF($G$261=2,O257,"correggere verso il basso")</f>
        <v>quota di progetto in m</v>
      </c>
    </row>
    <row r="208" spans="4:16" x14ac:dyDescent="0.25">
      <c r="D208">
        <v>206</v>
      </c>
      <c r="E208">
        <f t="shared" si="6"/>
        <v>0</v>
      </c>
      <c r="F208" s="115">
        <f t="shared" si="7"/>
        <v>0</v>
      </c>
      <c r="H208">
        <v>205</v>
      </c>
      <c r="J208" t="s">
        <v>565</v>
      </c>
      <c r="K208" s="375" t="str">
        <f>IF($G$261=2,K258,"Tiefenbegrenzung Schacht in mm (Optional)")</f>
        <v xml:space="preserve">Tiefenbegrenzung Schacht mit Plankote M.ü.M. (Optional) </v>
      </c>
      <c r="L208" s="375"/>
      <c r="M208" s="375" t="str">
        <f>IF($G$261=2,M258,"Limitation de la profondeur de la fosse (option) en mm")</f>
        <v>Limitation de profondeur de la fosse selon</v>
      </c>
      <c r="N208" s="375"/>
      <c r="O208" s="375" t="str">
        <f>IF($G$261=2,O258,"Limitazione di profondità pozzo (opzionale) in mm")</f>
        <v xml:space="preserve">Limitazione in profondità del pozzo con </v>
      </c>
    </row>
    <row r="209" spans="4:16" x14ac:dyDescent="0.25">
      <c r="D209">
        <v>207</v>
      </c>
      <c r="E209" t="str">
        <f t="shared" si="6"/>
        <v>Altezza di montaggio min. condotto di mandata Pozzo non raggiunto di</v>
      </c>
      <c r="F209" s="115" t="str">
        <f t="shared" si="7"/>
        <v>mm allungare</v>
      </c>
      <c r="H209">
        <v>206</v>
      </c>
    </row>
    <row r="210" spans="4:16" x14ac:dyDescent="0.25">
      <c r="D210">
        <v>208</v>
      </c>
      <c r="E210" t="str">
        <f t="shared" si="6"/>
        <v>Con pozzo RV di</v>
      </c>
      <c r="F210" s="115" t="str">
        <f t="shared" si="7"/>
        <v>mm allungare</v>
      </c>
      <c r="H210">
        <v>207</v>
      </c>
      <c r="J210" t="s">
        <v>566</v>
      </c>
      <c r="K210" t="s">
        <v>907</v>
      </c>
      <c r="L210" t="s">
        <v>610</v>
      </c>
      <c r="M210" t="s">
        <v>931</v>
      </c>
      <c r="N210" t="s">
        <v>928</v>
      </c>
      <c r="O210" t="s">
        <v>946</v>
      </c>
      <c r="P210" t="s">
        <v>803</v>
      </c>
    </row>
    <row r="211" spans="4:16" x14ac:dyDescent="0.25">
      <c r="D211">
        <v>209</v>
      </c>
      <c r="E211" t="str">
        <f t="shared" si="6"/>
        <v>Con rubinetterie pozzo di</v>
      </c>
      <c r="F211" s="115" t="str">
        <f t="shared" si="7"/>
        <v>mm allungare</v>
      </c>
      <c r="H211">
        <v>208</v>
      </c>
      <c r="J211" t="s">
        <v>567</v>
      </c>
      <c r="K211" t="s">
        <v>908</v>
      </c>
      <c r="L211" t="s">
        <v>610</v>
      </c>
      <c r="M211" t="s">
        <v>930</v>
      </c>
      <c r="N211" t="s">
        <v>928</v>
      </c>
      <c r="O211" t="s">
        <v>944</v>
      </c>
      <c r="P211" t="s">
        <v>803</v>
      </c>
    </row>
    <row r="212" spans="4:16" x14ac:dyDescent="0.25">
      <c r="D212">
        <v>210</v>
      </c>
      <c r="E212">
        <f t="shared" si="6"/>
        <v>0</v>
      </c>
      <c r="F212" s="115">
        <f t="shared" si="7"/>
        <v>0</v>
      </c>
      <c r="H212">
        <v>209</v>
      </c>
      <c r="J212" t="s">
        <v>568</v>
      </c>
      <c r="K212" t="s">
        <v>909</v>
      </c>
      <c r="L212" t="s">
        <v>610</v>
      </c>
      <c r="M212" t="s">
        <v>929</v>
      </c>
      <c r="N212" t="s">
        <v>928</v>
      </c>
      <c r="O212" t="s">
        <v>945</v>
      </c>
      <c r="P212" t="s">
        <v>803</v>
      </c>
    </row>
    <row r="213" spans="4:16" x14ac:dyDescent="0.25">
      <c r="D213">
        <v>211</v>
      </c>
      <c r="E213" s="137" t="str">
        <f t="shared" si="6"/>
        <v xml:space="preserve">quotatura piano </v>
      </c>
      <c r="F213" s="115">
        <f t="shared" si="7"/>
        <v>0</v>
      </c>
      <c r="H213">
        <v>210</v>
      </c>
    </row>
    <row r="214" spans="4:16" x14ac:dyDescent="0.25">
      <c r="D214">
        <v>212</v>
      </c>
      <c r="E214" t="str">
        <f t="shared" si="6"/>
        <v>Legenda:</v>
      </c>
      <c r="F214" s="115">
        <f t="shared" si="7"/>
        <v>0</v>
      </c>
      <c r="H214">
        <v>211</v>
      </c>
      <c r="J214" t="s">
        <v>569</v>
      </c>
      <c r="K214" s="115" t="s">
        <v>934</v>
      </c>
      <c r="M214" t="s">
        <v>933</v>
      </c>
      <c r="O214" t="s">
        <v>932</v>
      </c>
    </row>
    <row r="215" spans="4:16" x14ac:dyDescent="0.25">
      <c r="D215">
        <v>213</v>
      </c>
      <c r="E215" t="str">
        <f t="shared" si="6"/>
        <v>VR: volume di riserva</v>
      </c>
      <c r="F215" s="115">
        <f t="shared" si="7"/>
        <v>0</v>
      </c>
      <c r="H215">
        <v>212</v>
      </c>
      <c r="J215" t="s">
        <v>570</v>
      </c>
      <c r="K215" s="7" t="s">
        <v>315</v>
      </c>
      <c r="M215" t="s">
        <v>804</v>
      </c>
      <c r="O215" t="s">
        <v>805</v>
      </c>
    </row>
    <row r="216" spans="4:16" x14ac:dyDescent="0.25">
      <c r="D216">
        <v>214</v>
      </c>
      <c r="E216" t="str">
        <f t="shared" si="6"/>
        <v>VN: volume utile</v>
      </c>
      <c r="F216" s="115">
        <f t="shared" si="7"/>
        <v>0</v>
      </c>
      <c r="H216">
        <v>213</v>
      </c>
      <c r="J216" t="s">
        <v>571</v>
      </c>
      <c r="K216" s="178" t="s">
        <v>316</v>
      </c>
      <c r="M216" t="s">
        <v>899</v>
      </c>
      <c r="O216" t="s">
        <v>806</v>
      </c>
    </row>
    <row r="217" spans="4:16" x14ac:dyDescent="0.25">
      <c r="D217">
        <v>215</v>
      </c>
      <c r="E217" t="str">
        <f t="shared" si="6"/>
        <v>SU: pozzetto della pompa</v>
      </c>
      <c r="F217" s="115">
        <f t="shared" si="7"/>
        <v>0</v>
      </c>
      <c r="H217">
        <v>214</v>
      </c>
      <c r="J217" t="s">
        <v>572</v>
      </c>
      <c r="K217" s="178" t="s">
        <v>317</v>
      </c>
      <c r="M217" t="s">
        <v>900</v>
      </c>
      <c r="O217" t="s">
        <v>807</v>
      </c>
    </row>
    <row r="218" spans="4:16" x14ac:dyDescent="0.25">
      <c r="D218">
        <v>216</v>
      </c>
      <c r="E218">
        <f t="shared" si="6"/>
        <v>0</v>
      </c>
      <c r="F218" s="115">
        <f t="shared" si="7"/>
        <v>0</v>
      </c>
      <c r="H218">
        <v>215</v>
      </c>
      <c r="J218" t="s">
        <v>573</v>
      </c>
      <c r="K218" s="178" t="s">
        <v>318</v>
      </c>
      <c r="M218" t="s">
        <v>901</v>
      </c>
      <c r="O218" t="s">
        <v>808</v>
      </c>
    </row>
    <row r="219" spans="4:16" x14ac:dyDescent="0.25">
      <c r="D219">
        <v>217</v>
      </c>
      <c r="E219">
        <f t="shared" si="6"/>
        <v>0</v>
      </c>
      <c r="F219" s="115">
        <f t="shared" si="7"/>
        <v>0</v>
      </c>
      <c r="H219">
        <v>216</v>
      </c>
    </row>
    <row r="220" spans="4:16" x14ac:dyDescent="0.25">
      <c r="D220">
        <v>218</v>
      </c>
      <c r="E220" t="str">
        <f t="shared" si="6"/>
        <v>Tutte le dimensioni</v>
      </c>
      <c r="F220" s="115">
        <f t="shared" si="7"/>
        <v>0</v>
      </c>
      <c r="H220">
        <v>217</v>
      </c>
    </row>
    <row r="221" spans="4:16" x14ac:dyDescent="0.25">
      <c r="D221">
        <v>219</v>
      </c>
      <c r="E221" t="str">
        <f t="shared" si="6"/>
        <v>in mm:</v>
      </c>
      <c r="F221" s="115">
        <f t="shared" si="7"/>
        <v>0</v>
      </c>
      <c r="H221">
        <v>218</v>
      </c>
      <c r="J221" t="s">
        <v>574</v>
      </c>
      <c r="K221" s="45" t="s">
        <v>364</v>
      </c>
      <c r="M221" t="s">
        <v>809</v>
      </c>
      <c r="O221" t="s">
        <v>810</v>
      </c>
    </row>
    <row r="222" spans="4:16" x14ac:dyDescent="0.25">
      <c r="D222">
        <v>220</v>
      </c>
      <c r="E222" t="str">
        <f t="shared" si="6"/>
        <v>Posa diretta</v>
      </c>
      <c r="F222" s="115">
        <f t="shared" si="7"/>
        <v>0</v>
      </c>
      <c r="H222">
        <v>219</v>
      </c>
      <c r="J222" t="s">
        <v>575</v>
      </c>
      <c r="K222" s="7" t="s">
        <v>365</v>
      </c>
      <c r="M222" t="s">
        <v>811</v>
      </c>
      <c r="O222" t="s">
        <v>365</v>
      </c>
    </row>
    <row r="223" spans="4:16" ht="15" customHeight="1" x14ac:dyDescent="0.25">
      <c r="D223">
        <v>221</v>
      </c>
      <c r="E223" t="str">
        <f t="shared" si="6"/>
        <v>Risultato</v>
      </c>
      <c r="F223" s="115">
        <f t="shared" si="7"/>
        <v>0</v>
      </c>
      <c r="H223">
        <v>220</v>
      </c>
      <c r="J223" t="s">
        <v>582</v>
      </c>
      <c r="K223" t="s">
        <v>301</v>
      </c>
      <c r="M223" t="s">
        <v>858</v>
      </c>
      <c r="O223" t="s">
        <v>812</v>
      </c>
    </row>
    <row r="224" spans="4:16" ht="15" customHeight="1" x14ac:dyDescent="0.25">
      <c r="D224">
        <v>222</v>
      </c>
      <c r="E224" t="str">
        <f t="shared" si="6"/>
        <v>Volume in L</v>
      </c>
      <c r="F224" s="115">
        <f t="shared" si="7"/>
        <v>0</v>
      </c>
      <c r="H224">
        <v>221</v>
      </c>
      <c r="J224" t="s">
        <v>583</v>
      </c>
      <c r="K224" t="s">
        <v>304</v>
      </c>
      <c r="M224" t="s">
        <v>813</v>
      </c>
      <c r="O224" t="s">
        <v>814</v>
      </c>
    </row>
    <row r="225" spans="3:15" x14ac:dyDescent="0.25">
      <c r="D225">
        <v>223</v>
      </c>
      <c r="E225" t="str">
        <f t="shared" si="6"/>
        <v>BF 12 non consigliabile</v>
      </c>
      <c r="F225" s="115">
        <f t="shared" si="7"/>
        <v>0</v>
      </c>
      <c r="H225">
        <v>222</v>
      </c>
      <c r="J225" t="s">
        <v>584</v>
      </c>
      <c r="K225" t="s">
        <v>2120</v>
      </c>
      <c r="M225" t="s">
        <v>815</v>
      </c>
      <c r="O225" t="s">
        <v>816</v>
      </c>
    </row>
    <row r="226" spans="3:15" x14ac:dyDescent="0.25">
      <c r="C226" t="s">
        <v>616</v>
      </c>
      <c r="D226">
        <v>224</v>
      </c>
      <c r="E226" s="199" t="str">
        <f t="shared" si="6"/>
        <v>Pozzo BS</v>
      </c>
      <c r="F226" s="214">
        <f t="shared" si="7"/>
        <v>0</v>
      </c>
      <c r="H226">
        <v>223</v>
      </c>
      <c r="J226" t="s">
        <v>613</v>
      </c>
      <c r="K226" t="s">
        <v>612</v>
      </c>
      <c r="M226" t="s">
        <v>817</v>
      </c>
      <c r="O226" t="s">
        <v>818</v>
      </c>
    </row>
    <row r="227" spans="3:15" x14ac:dyDescent="0.25">
      <c r="D227">
        <v>225</v>
      </c>
      <c r="E227" s="200" t="str">
        <f t="shared" si="6"/>
        <v>Entrata inferiore</v>
      </c>
      <c r="F227" s="207">
        <f t="shared" si="7"/>
        <v>0</v>
      </c>
      <c r="H227">
        <v>224</v>
      </c>
      <c r="J227" t="s">
        <v>616</v>
      </c>
      <c r="K227" t="s">
        <v>614</v>
      </c>
      <c r="M227" t="s">
        <v>819</v>
      </c>
      <c r="O227" t="s">
        <v>820</v>
      </c>
    </row>
    <row r="228" spans="3:15" x14ac:dyDescent="0.25">
      <c r="D228">
        <v>226</v>
      </c>
      <c r="E228" s="200" t="str">
        <f t="shared" si="6"/>
        <v>UK pozzo</v>
      </c>
      <c r="F228" s="207">
        <f t="shared" si="7"/>
        <v>0</v>
      </c>
      <c r="H228">
        <v>225</v>
      </c>
      <c r="J228" t="s">
        <v>616</v>
      </c>
      <c r="K228" t="s">
        <v>2125</v>
      </c>
      <c r="M228" t="s">
        <v>821</v>
      </c>
      <c r="O228" t="s">
        <v>822</v>
      </c>
    </row>
    <row r="229" spans="3:15" x14ac:dyDescent="0.25">
      <c r="D229">
        <v>227</v>
      </c>
      <c r="E229" s="137" t="str">
        <f t="shared" si="6"/>
        <v>H Vres</v>
      </c>
      <c r="F229" s="115">
        <f t="shared" si="7"/>
        <v>0</v>
      </c>
      <c r="H229">
        <v>226</v>
      </c>
      <c r="J229" t="s">
        <v>616</v>
      </c>
      <c r="K229" t="s">
        <v>615</v>
      </c>
      <c r="M229" t="s">
        <v>823</v>
      </c>
      <c r="O229" t="s">
        <v>824</v>
      </c>
    </row>
    <row r="230" spans="3:15" x14ac:dyDescent="0.25">
      <c r="D230">
        <v>228</v>
      </c>
      <c r="E230" s="137" t="str">
        <f t="shared" si="6"/>
        <v>H VN</v>
      </c>
      <c r="F230" s="115">
        <f t="shared" si="7"/>
        <v>0</v>
      </c>
      <c r="H230">
        <v>227</v>
      </c>
      <c r="J230" t="s">
        <v>616</v>
      </c>
      <c r="K230" t="s">
        <v>1619</v>
      </c>
      <c r="M230" t="s">
        <v>1619</v>
      </c>
      <c r="O230" t="s">
        <v>1619</v>
      </c>
    </row>
    <row r="231" spans="3:15" x14ac:dyDescent="0.25">
      <c r="D231">
        <v>229</v>
      </c>
      <c r="E231" s="137" t="str">
        <f t="shared" si="6"/>
        <v>H SU</v>
      </c>
      <c r="F231" s="115">
        <f t="shared" si="7"/>
        <v>0</v>
      </c>
      <c r="H231">
        <v>228</v>
      </c>
      <c r="J231" t="s">
        <v>616</v>
      </c>
      <c r="K231" t="s">
        <v>1614</v>
      </c>
      <c r="M231" t="s">
        <v>1614</v>
      </c>
      <c r="O231" t="s">
        <v>1614</v>
      </c>
    </row>
    <row r="232" spans="3:15" ht="18" x14ac:dyDescent="0.35">
      <c r="D232">
        <v>230</v>
      </c>
      <c r="E232" s="137" t="str">
        <f t="shared" si="6"/>
        <v>UKD</v>
      </c>
      <c r="F232" s="115">
        <f t="shared" si="7"/>
        <v>0</v>
      </c>
      <c r="H232">
        <v>229</v>
      </c>
      <c r="J232" t="s">
        <v>616</v>
      </c>
      <c r="K232" t="s">
        <v>2118</v>
      </c>
      <c r="M232" t="s">
        <v>1618</v>
      </c>
      <c r="O232" t="s">
        <v>1615</v>
      </c>
    </row>
    <row r="233" spans="3:15" x14ac:dyDescent="0.25">
      <c r="D233">
        <v>231</v>
      </c>
      <c r="E233" s="137" t="str">
        <f t="shared" si="6"/>
        <v>OKD</v>
      </c>
      <c r="F233" s="115">
        <f t="shared" si="7"/>
        <v>0</v>
      </c>
      <c r="H233">
        <v>230</v>
      </c>
      <c r="J233" t="s">
        <v>616</v>
      </c>
      <c r="K233" t="s">
        <v>617</v>
      </c>
      <c r="M233" t="s">
        <v>617</v>
      </c>
      <c r="O233" t="s">
        <v>617</v>
      </c>
    </row>
    <row r="234" spans="3:15" x14ac:dyDescent="0.25">
      <c r="C234" t="s">
        <v>621</v>
      </c>
      <c r="D234">
        <v>232</v>
      </c>
      <c r="E234" s="215" t="str">
        <f t="shared" si="6"/>
        <v>segmento successivo</v>
      </c>
      <c r="F234" s="115">
        <f t="shared" si="7"/>
        <v>0</v>
      </c>
      <c r="H234">
        <v>231</v>
      </c>
      <c r="J234" t="s">
        <v>616</v>
      </c>
      <c r="K234" t="s">
        <v>618</v>
      </c>
      <c r="M234" t="s">
        <v>618</v>
      </c>
      <c r="O234" t="s">
        <v>618</v>
      </c>
    </row>
    <row r="235" spans="3:15" x14ac:dyDescent="0.25">
      <c r="D235">
        <v>233</v>
      </c>
      <c r="E235" s="215" t="str">
        <f t="shared" si="6"/>
        <v>Terreno BS</v>
      </c>
      <c r="F235" s="115">
        <f t="shared" si="7"/>
        <v>0</v>
      </c>
      <c r="H235">
        <v>232</v>
      </c>
      <c r="J235" t="s">
        <v>621</v>
      </c>
      <c r="K235" s="215" t="s">
        <v>620</v>
      </c>
      <c r="M235" t="s">
        <v>825</v>
      </c>
      <c r="O235" t="s">
        <v>826</v>
      </c>
    </row>
    <row r="236" spans="3:15" x14ac:dyDescent="0.25">
      <c r="D236">
        <v>234</v>
      </c>
      <c r="E236" s="215" t="str">
        <f t="shared" si="6"/>
        <v>Apparecchio inferiore</v>
      </c>
      <c r="F236" s="115">
        <f t="shared" si="7"/>
        <v>0</v>
      </c>
      <c r="H236">
        <v>233</v>
      </c>
      <c r="J236" t="s">
        <v>621</v>
      </c>
      <c r="K236" s="215" t="s">
        <v>622</v>
      </c>
      <c r="M236" t="s">
        <v>827</v>
      </c>
      <c r="O236" t="s">
        <v>828</v>
      </c>
    </row>
    <row r="237" spans="3:15" x14ac:dyDescent="0.25">
      <c r="D237">
        <v>235</v>
      </c>
      <c r="E237" s="215" t="str">
        <f t="shared" si="6"/>
        <v>VR</v>
      </c>
      <c r="F237" s="115">
        <f t="shared" si="7"/>
        <v>0</v>
      </c>
      <c r="H237">
        <v>234</v>
      </c>
      <c r="J237" t="s">
        <v>621</v>
      </c>
      <c r="K237" s="215" t="s">
        <v>623</v>
      </c>
      <c r="M237" t="s">
        <v>829</v>
      </c>
      <c r="O237" t="s">
        <v>830</v>
      </c>
    </row>
    <row r="238" spans="3:15" x14ac:dyDescent="0.25">
      <c r="C238" t="s">
        <v>616</v>
      </c>
      <c r="D238">
        <v>236</v>
      </c>
      <c r="E238" s="137" t="str">
        <f t="shared" si="6"/>
        <v>H Allarme</v>
      </c>
      <c r="F238" s="115">
        <f t="shared" si="7"/>
        <v>0</v>
      </c>
      <c r="H238">
        <v>235</v>
      </c>
      <c r="J238" t="s">
        <v>621</v>
      </c>
      <c r="K238" s="215" t="s">
        <v>171</v>
      </c>
      <c r="M238" t="s">
        <v>171</v>
      </c>
      <c r="O238" t="s">
        <v>171</v>
      </c>
    </row>
    <row r="239" spans="3:15" x14ac:dyDescent="0.25">
      <c r="D239" s="192">
        <v>237</v>
      </c>
      <c r="E239" s="192" t="str">
        <f t="shared" si="6"/>
        <v>Posti e vie</v>
      </c>
      <c r="F239" s="216">
        <f t="shared" si="7"/>
        <v>0</v>
      </c>
      <c r="H239">
        <v>236</v>
      </c>
      <c r="J239" t="s">
        <v>616</v>
      </c>
      <c r="K239" s="137" t="s">
        <v>1616</v>
      </c>
      <c r="M239" t="s">
        <v>1617</v>
      </c>
      <c r="O239" t="s">
        <v>1620</v>
      </c>
    </row>
    <row r="240" spans="3:15" x14ac:dyDescent="0.25">
      <c r="D240" s="192">
        <v>238</v>
      </c>
      <c r="E240" s="192" t="str">
        <f t="shared" si="6"/>
        <v>Copertura verde spessore strutturale</v>
      </c>
      <c r="F240" s="216">
        <f t="shared" si="7"/>
        <v>0</v>
      </c>
      <c r="H240">
        <v>237</v>
      </c>
      <c r="K240" s="485" t="s">
        <v>628</v>
      </c>
      <c r="M240" t="s">
        <v>855</v>
      </c>
      <c r="O240" t="s">
        <v>940</v>
      </c>
    </row>
    <row r="241" spans="4:15" x14ac:dyDescent="0.25">
      <c r="D241" s="192">
        <v>239</v>
      </c>
      <c r="E241" s="192" t="str">
        <f t="shared" si="6"/>
        <v>Con rivestimento duro (1.0)</v>
      </c>
      <c r="F241" s="216">
        <f t="shared" si="7"/>
        <v>0</v>
      </c>
      <c r="H241">
        <v>238</v>
      </c>
      <c r="K241" s="485" t="s">
        <v>835</v>
      </c>
      <c r="M241" t="s">
        <v>856</v>
      </c>
      <c r="O241" t="s">
        <v>941</v>
      </c>
    </row>
    <row r="242" spans="4:15" x14ac:dyDescent="0.25">
      <c r="D242" s="192">
        <v>240</v>
      </c>
      <c r="E242" s="192" t="str">
        <f t="shared" si="6"/>
        <v>Con rivestimento in ghiaia (0.6)</v>
      </c>
      <c r="F242" s="216">
        <f t="shared" si="7"/>
        <v>0</v>
      </c>
      <c r="H242">
        <v>239</v>
      </c>
      <c r="K242" s="485" t="s">
        <v>2091</v>
      </c>
      <c r="M242" t="s">
        <v>2093</v>
      </c>
      <c r="O242" t="s">
        <v>2094</v>
      </c>
    </row>
    <row r="243" spans="4:15" x14ac:dyDescent="0.25">
      <c r="D243" s="192">
        <v>241</v>
      </c>
      <c r="E243" s="192" t="str">
        <f t="shared" si="6"/>
        <v>Con sistema ecologico (fughe di piestrisco) (0.6)</v>
      </c>
      <c r="F243" s="216">
        <f t="shared" si="7"/>
        <v>0</v>
      </c>
      <c r="H243">
        <v>240</v>
      </c>
      <c r="K243" s="485" t="s">
        <v>624</v>
      </c>
      <c r="M243" t="s">
        <v>2092</v>
      </c>
      <c r="O243" t="s">
        <v>2095</v>
      </c>
    </row>
    <row r="244" spans="4:15" x14ac:dyDescent="0.25">
      <c r="D244" s="192">
        <v>242</v>
      </c>
      <c r="E244" s="192" t="str">
        <f t="shared" si="6"/>
        <v>Con rivestimento percolante (0.6)</v>
      </c>
      <c r="F244" s="216">
        <f t="shared" si="7"/>
        <v>0</v>
      </c>
      <c r="H244">
        <v>241</v>
      </c>
      <c r="K244" s="485" t="s">
        <v>625</v>
      </c>
      <c r="M244" t="s">
        <v>2100</v>
      </c>
      <c r="O244" t="s">
        <v>2096</v>
      </c>
    </row>
    <row r="245" spans="4:15" x14ac:dyDescent="0.25">
      <c r="D245" s="192">
        <v>243</v>
      </c>
      <c r="E245" s="192" t="str">
        <f t="shared" si="6"/>
        <v>Con manufatti drenanti (0.2)</v>
      </c>
      <c r="F245" s="216">
        <f t="shared" si="7"/>
        <v>0</v>
      </c>
      <c r="H245">
        <v>242</v>
      </c>
      <c r="K245" s="485" t="s">
        <v>836</v>
      </c>
      <c r="M245" t="s">
        <v>2101</v>
      </c>
      <c r="O245" t="s">
        <v>2097</v>
      </c>
    </row>
    <row r="246" spans="4:15" x14ac:dyDescent="0.25">
      <c r="D246" s="192">
        <v>244</v>
      </c>
      <c r="E246" s="192" t="str">
        <f t="shared" si="6"/>
        <v>Con mattonato per tappeti erbosi (0.2)</v>
      </c>
      <c r="F246" s="216">
        <f t="shared" si="7"/>
        <v>0</v>
      </c>
      <c r="H246">
        <v>243</v>
      </c>
      <c r="K246" s="485" t="s">
        <v>626</v>
      </c>
      <c r="M246" t="s">
        <v>2102</v>
      </c>
      <c r="O246" t="s">
        <v>2098</v>
      </c>
    </row>
    <row r="247" spans="4:15" x14ac:dyDescent="0.25">
      <c r="D247" s="192">
        <v>245</v>
      </c>
      <c r="E247" s="192" t="str">
        <f t="shared" si="6"/>
        <v>Posa diretta dettagli (opzionale)</v>
      </c>
      <c r="F247" s="216">
        <f t="shared" si="7"/>
        <v>0</v>
      </c>
      <c r="H247">
        <v>244</v>
      </c>
      <c r="K247" s="485" t="s">
        <v>627</v>
      </c>
      <c r="M247" t="s">
        <v>2103</v>
      </c>
      <c r="O247" t="s">
        <v>2099</v>
      </c>
    </row>
    <row r="248" spans="4:15" x14ac:dyDescent="0.25">
      <c r="D248" s="192">
        <v>246</v>
      </c>
      <c r="E248" s="192" t="str">
        <f t="shared" si="6"/>
        <v>BF11 non possibile</v>
      </c>
      <c r="F248" s="216">
        <f t="shared" si="7"/>
        <v>0</v>
      </c>
      <c r="H248">
        <v>245</v>
      </c>
      <c r="K248" s="485" t="s">
        <v>646</v>
      </c>
      <c r="M248" t="s">
        <v>859</v>
      </c>
      <c r="O248" t="s">
        <v>942</v>
      </c>
    </row>
    <row r="249" spans="4:15" x14ac:dyDescent="0.25">
      <c r="D249" s="192">
        <v>247</v>
      </c>
      <c r="E249" s="488" t="str">
        <f t="shared" si="6"/>
        <v>Inserimento bordo superiore del coperchio</v>
      </c>
      <c r="F249" s="216">
        <f t="shared" si="7"/>
        <v>0</v>
      </c>
      <c r="H249">
        <v>246</v>
      </c>
      <c r="K249" s="485" t="s">
        <v>648</v>
      </c>
      <c r="M249" t="s">
        <v>857</v>
      </c>
      <c r="O249" t="s">
        <v>943</v>
      </c>
    </row>
    <row r="250" spans="4:15" x14ac:dyDescent="0.25">
      <c r="D250" s="192">
        <v>248</v>
      </c>
      <c r="E250" s="192" t="str">
        <f t="shared" si="6"/>
        <v>Inserimento quota di progetto (m.s.l.m.)</v>
      </c>
      <c r="F250" s="216">
        <f t="shared" si="7"/>
        <v>0</v>
      </c>
      <c r="H250">
        <v>247</v>
      </c>
      <c r="K250" s="375" t="s">
        <v>2113</v>
      </c>
      <c r="M250" t="s">
        <v>1902</v>
      </c>
      <c r="O250" t="s">
        <v>1782</v>
      </c>
    </row>
    <row r="251" spans="4:15" x14ac:dyDescent="0.25">
      <c r="D251" s="192">
        <v>249</v>
      </c>
      <c r="E251" s="192" t="str">
        <f t="shared" si="6"/>
        <v>Adeguare la tubazione di mandata alla</v>
      </c>
      <c r="F251" s="216">
        <f t="shared" si="7"/>
        <v>0</v>
      </c>
      <c r="H251">
        <v>248</v>
      </c>
      <c r="K251" s="375" t="s">
        <v>2114</v>
      </c>
      <c r="M251" t="s">
        <v>1903</v>
      </c>
      <c r="O251" t="s">
        <v>1783</v>
      </c>
    </row>
    <row r="252" spans="4:15" x14ac:dyDescent="0.25">
      <c r="D252" s="192">
        <v>250</v>
      </c>
      <c r="E252" s="192" t="str">
        <f t="shared" si="6"/>
        <v xml:space="preserve"> quota di progetto in m </v>
      </c>
      <c r="F252" s="216">
        <f t="shared" si="7"/>
        <v>0</v>
      </c>
      <c r="H252">
        <v>249</v>
      </c>
      <c r="K252" s="377" t="s">
        <v>2110</v>
      </c>
      <c r="M252" s="32" t="s">
        <v>1847</v>
      </c>
      <c r="O252" s="32" t="s">
        <v>1854</v>
      </c>
    </row>
    <row r="253" spans="4:15" x14ac:dyDescent="0.25">
      <c r="D253" s="192">
        <v>251</v>
      </c>
      <c r="E253" s="192" t="str">
        <f t="shared" si="6"/>
        <v xml:space="preserve">Adeguare la bocchetta di entrata più bassa alla </v>
      </c>
      <c r="F253" s="216">
        <f t="shared" si="7"/>
        <v>0</v>
      </c>
      <c r="H253">
        <v>250</v>
      </c>
      <c r="K253" s="378" t="s">
        <v>953</v>
      </c>
      <c r="M253" s="139" t="s">
        <v>1848</v>
      </c>
      <c r="O253" s="139" t="s">
        <v>1855</v>
      </c>
    </row>
    <row r="254" spans="4:15" x14ac:dyDescent="0.25">
      <c r="D254" s="192">
        <v>252</v>
      </c>
      <c r="E254" s="192" t="str">
        <f t="shared" si="6"/>
        <v xml:space="preserve">quota di progetto in m </v>
      </c>
      <c r="F254" s="216">
        <f t="shared" si="7"/>
        <v>0</v>
      </c>
      <c r="H254">
        <v>251</v>
      </c>
      <c r="K254" s="379" t="s">
        <v>2111</v>
      </c>
      <c r="M254" s="139" t="s">
        <v>1853</v>
      </c>
      <c r="O254" s="139" t="s">
        <v>1856</v>
      </c>
    </row>
    <row r="255" spans="4:15" x14ac:dyDescent="0.25">
      <c r="D255" s="192">
        <v>253</v>
      </c>
      <c r="E255" s="192" t="str">
        <f t="shared" si="6"/>
        <v xml:space="preserve">Definire livello e apparecchiatura con </v>
      </c>
      <c r="F255" s="216">
        <f t="shared" si="7"/>
        <v>0</v>
      </c>
      <c r="H255">
        <v>252</v>
      </c>
      <c r="K255" s="379" t="s">
        <v>953</v>
      </c>
      <c r="M255" s="139" t="s">
        <v>1848</v>
      </c>
      <c r="O255" s="139" t="s">
        <v>1857</v>
      </c>
    </row>
    <row r="256" spans="4:15" x14ac:dyDescent="0.25">
      <c r="D256" s="192">
        <v>254</v>
      </c>
      <c r="E256" s="192" t="str">
        <f t="shared" si="6"/>
        <v>quota di progetto in m</v>
      </c>
      <c r="F256" s="216">
        <f t="shared" si="7"/>
        <v>0</v>
      </c>
      <c r="H256">
        <v>253</v>
      </c>
      <c r="K256" s="379" t="s">
        <v>2108</v>
      </c>
      <c r="M256" s="139" t="s">
        <v>1849</v>
      </c>
      <c r="O256" s="139" t="s">
        <v>1858</v>
      </c>
    </row>
    <row r="257" spans="4:15" x14ac:dyDescent="0.25">
      <c r="D257" s="192">
        <v>255</v>
      </c>
      <c r="E257" s="192" t="str">
        <f t="shared" si="6"/>
        <v xml:space="preserve">Limitazione in profondità del pozzo con </v>
      </c>
      <c r="F257" s="216">
        <f t="shared" si="7"/>
        <v>0</v>
      </c>
      <c r="H257">
        <v>254</v>
      </c>
      <c r="K257" s="379" t="s">
        <v>2109</v>
      </c>
      <c r="M257" s="139" t="s">
        <v>1850</v>
      </c>
      <c r="O257" s="139" t="s">
        <v>1859</v>
      </c>
    </row>
    <row r="258" spans="4:15" x14ac:dyDescent="0.25">
      <c r="D258" s="192">
        <v>256</v>
      </c>
      <c r="E258" s="192" t="str">
        <f t="shared" si="6"/>
        <v xml:space="preserve">quota di progetto in m (opzionale) </v>
      </c>
      <c r="F258" s="216">
        <f t="shared" si="7"/>
        <v>0</v>
      </c>
      <c r="H258">
        <v>255</v>
      </c>
      <c r="K258" s="380" t="s">
        <v>2112</v>
      </c>
      <c r="M258" s="140" t="s">
        <v>1851</v>
      </c>
      <c r="O258" s="140" t="s">
        <v>1860</v>
      </c>
    </row>
    <row r="259" spans="4:15" x14ac:dyDescent="0.25">
      <c r="D259" s="192">
        <v>257</v>
      </c>
      <c r="E259" s="489" t="str">
        <f t="shared" ref="E259:E300" si="8">IF($C$3=TRUE,VLOOKUP(D259,$H$4:$P$315,4,0),IF($C$4=TRUE,VLOOKUP(D259,$H$4:$P$315,6,0),IF($C$5=TRUE,VLOOKUP(D259,$H$4:$P$315,8,0),"")))</f>
        <v>Richiesta pozzo</v>
      </c>
      <c r="F259" s="216">
        <f t="shared" ref="F259:F311" si="9">IF($C$3=TRUE,VLOOKUP(D259,$H$4:$P$315,5,0),IF($C$4=TRUE,VLOOKUP(D259,$H$4:$P$315,7,0),IF($C$5=TRUE,VLOOKUP(D259,$H$4:$P$315,9,0),"")))</f>
        <v>0</v>
      </c>
      <c r="H259">
        <v>256</v>
      </c>
      <c r="M259" t="s">
        <v>1852</v>
      </c>
      <c r="O259" t="s">
        <v>1861</v>
      </c>
    </row>
    <row r="260" spans="4:15" x14ac:dyDescent="0.25">
      <c r="D260" s="192">
        <v>258</v>
      </c>
      <c r="E260" s="192">
        <f t="shared" si="8"/>
        <v>0</v>
      </c>
      <c r="F260" s="216">
        <f t="shared" si="9"/>
        <v>0</v>
      </c>
      <c r="H260">
        <v>257</v>
      </c>
      <c r="K260" s="486" t="s">
        <v>1666</v>
      </c>
      <c r="M260" t="s">
        <v>1744</v>
      </c>
      <c r="O260" t="s">
        <v>1784</v>
      </c>
    </row>
    <row r="261" spans="4:15" x14ac:dyDescent="0.25">
      <c r="D261" s="192">
        <v>259</v>
      </c>
      <c r="E261" s="192">
        <f t="shared" si="8"/>
        <v>0</v>
      </c>
      <c r="F261" s="216">
        <f t="shared" si="9"/>
        <v>0</v>
      </c>
      <c r="G261" s="381">
        <f>Tabelle3!$BK$20</f>
        <v>2</v>
      </c>
      <c r="H261">
        <v>258</v>
      </c>
    </row>
    <row r="262" spans="4:15" x14ac:dyDescent="0.25">
      <c r="D262" s="192">
        <v>260</v>
      </c>
      <c r="E262" s="192" t="str">
        <f t="shared" si="8"/>
        <v>Configurare il pozzo in base alla richiesta</v>
      </c>
      <c r="F262" s="216">
        <f t="shared" si="9"/>
        <v>0</v>
      </c>
      <c r="H262">
        <v>259</v>
      </c>
    </row>
    <row r="263" spans="4:15" x14ac:dyDescent="0.25">
      <c r="D263" s="192">
        <v>261</v>
      </c>
      <c r="E263" s="192" t="str">
        <f t="shared" si="8"/>
        <v xml:space="preserve">Tipo di pozzo selezionato: </v>
      </c>
      <c r="F263" s="216">
        <f t="shared" si="9"/>
        <v>0</v>
      </c>
      <c r="H263">
        <v>260</v>
      </c>
      <c r="I263" s="9"/>
      <c r="J263" s="9"/>
      <c r="K263" s="487" t="s">
        <v>1067</v>
      </c>
      <c r="L263" s="9"/>
      <c r="M263" s="9" t="s">
        <v>1745</v>
      </c>
      <c r="O263" t="s">
        <v>1785</v>
      </c>
    </row>
    <row r="264" spans="4:15" x14ac:dyDescent="0.25">
      <c r="D264" s="192">
        <v>262</v>
      </c>
      <c r="E264" s="192" t="str">
        <f t="shared" si="8"/>
        <v>File CAD</v>
      </c>
      <c r="F264" s="216">
        <f t="shared" si="9"/>
        <v>0</v>
      </c>
      <c r="H264">
        <v>261</v>
      </c>
      <c r="I264" s="9"/>
      <c r="J264" s="9"/>
      <c r="K264" s="47" t="s">
        <v>1091</v>
      </c>
      <c r="L264" s="9"/>
      <c r="M264" s="9" t="s">
        <v>1746</v>
      </c>
      <c r="O264" t="s">
        <v>1786</v>
      </c>
    </row>
    <row r="265" spans="4:15" x14ac:dyDescent="0.25">
      <c r="D265" s="192">
        <v>263</v>
      </c>
      <c r="E265" s="192" t="str">
        <f t="shared" si="8"/>
        <v>N. articolo:</v>
      </c>
      <c r="F265" s="216">
        <f t="shared" si="9"/>
        <v>0</v>
      </c>
      <c r="H265">
        <v>262</v>
      </c>
      <c r="I265" s="9"/>
      <c r="J265" s="9"/>
      <c r="K265" s="47" t="s">
        <v>1097</v>
      </c>
      <c r="L265" s="9"/>
      <c r="M265" s="9" t="s">
        <v>1747</v>
      </c>
      <c r="O265" t="s">
        <v>1787</v>
      </c>
    </row>
    <row r="266" spans="4:15" x14ac:dyDescent="0.25">
      <c r="D266" s="192">
        <v>264</v>
      </c>
      <c r="E266" s="192" t="str">
        <f t="shared" si="8"/>
        <v>nessuno</v>
      </c>
      <c r="F266" s="216">
        <f t="shared" si="9"/>
        <v>0</v>
      </c>
      <c r="H266">
        <v>263</v>
      </c>
      <c r="I266" s="9"/>
      <c r="J266" s="9"/>
      <c r="K266" s="47" t="s">
        <v>1092</v>
      </c>
      <c r="L266" s="9"/>
      <c r="M266" s="9" t="s">
        <v>1748</v>
      </c>
      <c r="O266" t="s">
        <v>1788</v>
      </c>
    </row>
    <row r="267" spans="4:15" x14ac:dyDescent="0.25">
      <c r="D267" s="192">
        <v>265</v>
      </c>
      <c r="E267" s="192" t="str">
        <f t="shared" si="8"/>
        <v>non disponibile</v>
      </c>
      <c r="F267" s="216">
        <f t="shared" si="9"/>
        <v>0</v>
      </c>
      <c r="H267">
        <v>264</v>
      </c>
      <c r="I267" s="9"/>
      <c r="J267" s="9"/>
      <c r="K267" s="45" t="s">
        <v>980</v>
      </c>
      <c r="L267" s="9"/>
      <c r="M267" s="47" t="s">
        <v>1749</v>
      </c>
      <c r="O267" t="s">
        <v>1789</v>
      </c>
    </row>
    <row r="268" spans="4:15" x14ac:dyDescent="0.25">
      <c r="D268" s="192">
        <v>266</v>
      </c>
      <c r="E268" s="192" t="str">
        <f t="shared" si="8"/>
        <v>non è disponibile alcun disegno</v>
      </c>
      <c r="F268" s="216">
        <f t="shared" si="9"/>
        <v>0</v>
      </c>
      <c r="H268">
        <v>265</v>
      </c>
      <c r="I268" s="9"/>
      <c r="J268" s="9"/>
      <c r="K268" s="9" t="s">
        <v>1667</v>
      </c>
      <c r="L268" s="9"/>
      <c r="M268" s="9" t="s">
        <v>1750</v>
      </c>
      <c r="O268" t="s">
        <v>1790</v>
      </c>
    </row>
    <row r="269" spans="4:15" x14ac:dyDescent="0.25">
      <c r="D269" s="192">
        <v>267</v>
      </c>
      <c r="E269" s="192" t="str">
        <f t="shared" si="8"/>
        <v>(OKD) Bordo sup. coperchio</v>
      </c>
      <c r="F269" s="216">
        <f t="shared" si="9"/>
        <v>0</v>
      </c>
      <c r="H269">
        <v>266</v>
      </c>
      <c r="K269" t="s">
        <v>1668</v>
      </c>
      <c r="M269" t="s">
        <v>1751</v>
      </c>
      <c r="O269" t="s">
        <v>1791</v>
      </c>
    </row>
    <row r="270" spans="4:15" x14ac:dyDescent="0.25">
      <c r="D270" s="192">
        <v>268</v>
      </c>
      <c r="E270" s="192" t="str">
        <f t="shared" si="8"/>
        <v>(UKD) Bordo inf. coperchio</v>
      </c>
      <c r="F270" s="216">
        <f t="shared" si="9"/>
        <v>0</v>
      </c>
      <c r="H270">
        <v>267</v>
      </c>
      <c r="K270" s="7" t="s">
        <v>1827</v>
      </c>
      <c r="M270" t="s">
        <v>1825</v>
      </c>
      <c r="O270" t="s">
        <v>1829</v>
      </c>
    </row>
    <row r="271" spans="4:15" x14ac:dyDescent="0.25">
      <c r="D271" s="192">
        <v>269</v>
      </c>
      <c r="E271" s="192" t="str">
        <f t="shared" si="8"/>
        <v xml:space="preserve">Altezza = </v>
      </c>
      <c r="F271" s="216">
        <f t="shared" si="9"/>
        <v>0</v>
      </c>
      <c r="H271">
        <v>268</v>
      </c>
      <c r="K271" s="7" t="s">
        <v>1828</v>
      </c>
      <c r="M271" t="s">
        <v>1826</v>
      </c>
      <c r="O271" t="s">
        <v>1830</v>
      </c>
    </row>
    <row r="272" spans="4:15" x14ac:dyDescent="0.25">
      <c r="D272" s="192">
        <v>270</v>
      </c>
      <c r="E272" s="192" t="str">
        <f t="shared" si="8"/>
        <v>Stazione di pompaggio singola</v>
      </c>
      <c r="F272" s="216">
        <f t="shared" si="9"/>
        <v>0</v>
      </c>
      <c r="H272">
        <v>269</v>
      </c>
      <c r="J272" t="s">
        <v>1675</v>
      </c>
      <c r="K272" t="s">
        <v>1669</v>
      </c>
      <c r="M272" t="s">
        <v>1752</v>
      </c>
      <c r="O272" t="s">
        <v>1792</v>
      </c>
    </row>
    <row r="273" spans="4:15" x14ac:dyDescent="0.25">
      <c r="D273" s="192">
        <v>271</v>
      </c>
      <c r="E273" s="192" t="str">
        <f t="shared" si="8"/>
        <v>Stazione di pompaggio doppia</v>
      </c>
      <c r="F273" s="216">
        <f t="shared" si="9"/>
        <v>0</v>
      </c>
      <c r="H273">
        <v>270</v>
      </c>
      <c r="J273" t="s">
        <v>1674</v>
      </c>
      <c r="K273" t="s">
        <v>1670</v>
      </c>
      <c r="M273" t="s">
        <v>1833</v>
      </c>
      <c r="O273" t="s">
        <v>1793</v>
      </c>
    </row>
    <row r="274" spans="4:15" x14ac:dyDescent="0.25">
      <c r="D274" s="192">
        <v>272</v>
      </c>
      <c r="E274" s="192" t="str">
        <f t="shared" si="8"/>
        <v>impossibile fare uscire due condotte di mandata dal pozzo</v>
      </c>
      <c r="F274" s="216">
        <f t="shared" si="9"/>
        <v>0</v>
      </c>
      <c r="H274">
        <v>271</v>
      </c>
      <c r="J274" t="s">
        <v>1674</v>
      </c>
      <c r="K274" t="s">
        <v>1671</v>
      </c>
      <c r="M274" t="s">
        <v>1832</v>
      </c>
      <c r="O274" t="s">
        <v>1794</v>
      </c>
    </row>
    <row r="275" spans="4:15" x14ac:dyDescent="0.25">
      <c r="D275" s="192">
        <v>273</v>
      </c>
      <c r="E275" s="192" t="str">
        <f t="shared" si="8"/>
        <v>fare uscire 2 condotte di mandata dal pozzo</v>
      </c>
      <c r="F275" s="216">
        <f t="shared" si="9"/>
        <v>0</v>
      </c>
      <c r="H275">
        <v>272</v>
      </c>
      <c r="J275" t="s">
        <v>1673</v>
      </c>
      <c r="K275" t="s">
        <v>1672</v>
      </c>
      <c r="M275" t="s">
        <v>1753</v>
      </c>
      <c r="O275" t="s">
        <v>1795</v>
      </c>
    </row>
    <row r="276" spans="4:15" x14ac:dyDescent="0.25">
      <c r="D276" s="192">
        <v>274</v>
      </c>
      <c r="E276" s="192" t="str">
        <f t="shared" si="8"/>
        <v>Tutte le misure dal bordo superiore coperchio in mm</v>
      </c>
      <c r="F276" s="216">
        <f t="shared" si="9"/>
        <v>0</v>
      </c>
      <c r="H276">
        <v>273</v>
      </c>
      <c r="J276" t="s">
        <v>1677</v>
      </c>
      <c r="K276" t="s">
        <v>1676</v>
      </c>
      <c r="M276" t="s">
        <v>1754</v>
      </c>
      <c r="O276" t="s">
        <v>1796</v>
      </c>
    </row>
    <row r="277" spans="4:15" x14ac:dyDescent="0.25">
      <c r="D277" s="192">
        <v>275</v>
      </c>
      <c r="E277" s="192" t="str">
        <f t="shared" si="8"/>
        <v>(congiungimento condotta di mandata pompa fuori dal pozzo)</v>
      </c>
      <c r="F277" s="216">
        <f t="shared" si="9"/>
        <v>0</v>
      </c>
      <c r="H277">
        <v>274</v>
      </c>
      <c r="J277" t="s">
        <v>1678</v>
      </c>
      <c r="K277" s="464" t="s">
        <v>1736</v>
      </c>
      <c r="M277" t="s">
        <v>1755</v>
      </c>
      <c r="O277" t="s">
        <v>1797</v>
      </c>
    </row>
    <row r="278" spans="4:15" x14ac:dyDescent="0.25">
      <c r="D278" s="192">
        <v>276</v>
      </c>
      <c r="E278" s="192" t="str">
        <f t="shared" si="8"/>
        <v>Cond. di mandata 1</v>
      </c>
      <c r="F278" s="216">
        <f t="shared" si="9"/>
        <v>0</v>
      </c>
      <c r="H278">
        <v>275</v>
      </c>
      <c r="J278" t="s">
        <v>1680</v>
      </c>
      <c r="K278" t="s">
        <v>1679</v>
      </c>
      <c r="M278" t="s">
        <v>1756</v>
      </c>
      <c r="O278" t="s">
        <v>1798</v>
      </c>
    </row>
    <row r="279" spans="4:15" x14ac:dyDescent="0.25">
      <c r="D279" s="192">
        <v>277</v>
      </c>
      <c r="E279" s="192" t="str">
        <f t="shared" si="8"/>
        <v>Cond. di mandata</v>
      </c>
      <c r="F279" s="216">
        <f t="shared" si="9"/>
        <v>0</v>
      </c>
      <c r="H279">
        <v>276</v>
      </c>
      <c r="J279" t="s">
        <v>1681</v>
      </c>
      <c r="K279" t="s">
        <v>1655</v>
      </c>
      <c r="M279" t="s">
        <v>1834</v>
      </c>
      <c r="O279" t="s">
        <v>1836</v>
      </c>
    </row>
    <row r="280" spans="4:15" x14ac:dyDescent="0.25">
      <c r="D280" s="192">
        <v>278</v>
      </c>
      <c r="E280" s="192" t="str">
        <f t="shared" si="8"/>
        <v>Posizione in °:</v>
      </c>
      <c r="F280" s="216">
        <f t="shared" si="9"/>
        <v>0</v>
      </c>
      <c r="H280">
        <v>277</v>
      </c>
      <c r="J280" t="s">
        <v>1683</v>
      </c>
      <c r="K280" t="s">
        <v>1682</v>
      </c>
      <c r="M280" t="s">
        <v>1835</v>
      </c>
      <c r="O280" t="s">
        <v>1837</v>
      </c>
    </row>
    <row r="281" spans="4:15" x14ac:dyDescent="0.25">
      <c r="D281" s="192">
        <v>279</v>
      </c>
      <c r="E281" s="192" t="str">
        <f t="shared" si="8"/>
        <v xml:space="preserve">Posizione: </v>
      </c>
      <c r="F281" s="216">
        <f t="shared" si="9"/>
        <v>0</v>
      </c>
      <c r="H281">
        <v>278</v>
      </c>
      <c r="J281" t="s">
        <v>1684</v>
      </c>
      <c r="K281" t="s">
        <v>1686</v>
      </c>
      <c r="M281" t="s">
        <v>1757</v>
      </c>
      <c r="O281" t="s">
        <v>1799</v>
      </c>
    </row>
    <row r="282" spans="4:15" x14ac:dyDescent="0.25">
      <c r="D282" s="192">
        <v>280</v>
      </c>
      <c r="E282" s="192" t="str">
        <f t="shared" si="8"/>
        <v xml:space="preserve">Alt. del fondo mm: </v>
      </c>
      <c r="F282" s="216">
        <f t="shared" si="9"/>
        <v>0</v>
      </c>
      <c r="H282">
        <v>279</v>
      </c>
      <c r="J282" t="s">
        <v>1684</v>
      </c>
      <c r="K282" t="s">
        <v>1685</v>
      </c>
      <c r="M282" t="s">
        <v>1758</v>
      </c>
      <c r="O282" t="s">
        <v>1800</v>
      </c>
    </row>
    <row r="283" spans="4:15" x14ac:dyDescent="0.25">
      <c r="D283" s="192">
        <v>281</v>
      </c>
      <c r="E283" s="192" t="str">
        <f t="shared" si="8"/>
        <v>Diam esterno mm:</v>
      </c>
      <c r="F283" s="216">
        <f t="shared" si="9"/>
        <v>0</v>
      </c>
      <c r="H283">
        <v>280</v>
      </c>
      <c r="J283" t="s">
        <v>1688</v>
      </c>
      <c r="K283" t="s">
        <v>1687</v>
      </c>
      <c r="M283" t="s">
        <v>1831</v>
      </c>
      <c r="O283" t="s">
        <v>1843</v>
      </c>
    </row>
    <row r="284" spans="4:15" x14ac:dyDescent="0.25">
      <c r="D284" s="192">
        <v>282</v>
      </c>
      <c r="E284" s="192" t="str">
        <f t="shared" si="8"/>
        <v xml:space="preserve">Note:  </v>
      </c>
      <c r="F284" s="216">
        <f t="shared" si="9"/>
        <v>0</v>
      </c>
      <c r="H284">
        <v>281</v>
      </c>
      <c r="J284" t="s">
        <v>1690</v>
      </c>
      <c r="K284" t="s">
        <v>1689</v>
      </c>
      <c r="M284" t="s">
        <v>1759</v>
      </c>
      <c r="O284" t="s">
        <v>1842</v>
      </c>
    </row>
    <row r="285" spans="4:15" x14ac:dyDescent="0.25">
      <c r="D285" s="192">
        <v>283</v>
      </c>
      <c r="E285" s="192" t="str">
        <f t="shared" si="8"/>
        <v>Condotta di mandata 2</v>
      </c>
      <c r="F285" s="216">
        <f t="shared" si="9"/>
        <v>0</v>
      </c>
      <c r="H285">
        <v>282</v>
      </c>
      <c r="J285" t="s">
        <v>1691</v>
      </c>
      <c r="K285" t="s">
        <v>272</v>
      </c>
      <c r="M285" t="s">
        <v>1760</v>
      </c>
      <c r="O285" t="s">
        <v>1801</v>
      </c>
    </row>
    <row r="286" spans="4:15" x14ac:dyDescent="0.25">
      <c r="D286" s="192">
        <v>284</v>
      </c>
      <c r="E286" s="192" t="str">
        <f t="shared" si="8"/>
        <v>Posizione:</v>
      </c>
      <c r="F286" s="216">
        <f t="shared" si="9"/>
        <v>0</v>
      </c>
      <c r="H286">
        <v>283</v>
      </c>
      <c r="J286" t="s">
        <v>1692</v>
      </c>
      <c r="K286" t="s">
        <v>1656</v>
      </c>
      <c r="M286" t="s">
        <v>1761</v>
      </c>
      <c r="O286" t="s">
        <v>1802</v>
      </c>
    </row>
    <row r="287" spans="4:15" x14ac:dyDescent="0.25">
      <c r="D287" s="192">
        <v>285</v>
      </c>
      <c r="E287" s="192" t="str">
        <f t="shared" si="8"/>
        <v>Alt. del fondo mm:</v>
      </c>
      <c r="F287" s="216">
        <f t="shared" si="9"/>
        <v>0</v>
      </c>
      <c r="H287">
        <v>284</v>
      </c>
      <c r="J287" t="s">
        <v>1694</v>
      </c>
      <c r="K287" t="s">
        <v>1693</v>
      </c>
      <c r="M287" t="s">
        <v>1758</v>
      </c>
      <c r="O287" t="s">
        <v>1803</v>
      </c>
    </row>
    <row r="288" spans="4:15" x14ac:dyDescent="0.25">
      <c r="D288" s="192">
        <v>286</v>
      </c>
      <c r="E288" s="192" t="str">
        <f t="shared" si="8"/>
        <v>Ø-esterno in mm:</v>
      </c>
      <c r="F288" s="216">
        <f t="shared" si="9"/>
        <v>0</v>
      </c>
      <c r="H288">
        <v>285</v>
      </c>
      <c r="J288" t="s">
        <v>1696</v>
      </c>
      <c r="K288" t="s">
        <v>1695</v>
      </c>
      <c r="M288" t="s">
        <v>1831</v>
      </c>
      <c r="O288" t="s">
        <v>1844</v>
      </c>
    </row>
    <row r="289" spans="4:15" x14ac:dyDescent="0.25">
      <c r="D289" s="192">
        <v>287</v>
      </c>
      <c r="E289" s="192" t="str">
        <f t="shared" si="8"/>
        <v xml:space="preserve">Guaina per cavi elettrici      </v>
      </c>
      <c r="F289" s="216">
        <f t="shared" si="9"/>
        <v>0</v>
      </c>
      <c r="H289">
        <v>286</v>
      </c>
      <c r="J289" t="s">
        <v>1697</v>
      </c>
      <c r="K289" t="s">
        <v>2105</v>
      </c>
      <c r="M289" t="s">
        <v>2106</v>
      </c>
      <c r="O289" t="s">
        <v>2107</v>
      </c>
    </row>
    <row r="290" spans="4:15" x14ac:dyDescent="0.25">
      <c r="D290" s="192">
        <v>288</v>
      </c>
      <c r="E290" s="192" t="str">
        <f t="shared" si="8"/>
        <v>Posizione in °:</v>
      </c>
      <c r="F290" s="216">
        <f t="shared" si="9"/>
        <v>0</v>
      </c>
      <c r="H290">
        <v>287</v>
      </c>
      <c r="J290" t="s">
        <v>1698</v>
      </c>
      <c r="K290" s="426" t="s">
        <v>1151</v>
      </c>
      <c r="M290" t="s">
        <v>1762</v>
      </c>
      <c r="O290" t="s">
        <v>1804</v>
      </c>
    </row>
    <row r="291" spans="4:15" x14ac:dyDescent="0.25">
      <c r="D291" s="192">
        <v>289</v>
      </c>
      <c r="E291" s="192" t="str">
        <f t="shared" si="8"/>
        <v xml:space="preserve">Alt. del fondo mm: </v>
      </c>
      <c r="F291" s="216">
        <f t="shared" si="9"/>
        <v>0</v>
      </c>
      <c r="H291">
        <v>288</v>
      </c>
      <c r="J291" t="s">
        <v>1699</v>
      </c>
      <c r="K291" t="s">
        <v>1686</v>
      </c>
      <c r="M291" t="s">
        <v>1757</v>
      </c>
      <c r="O291" t="s">
        <v>1799</v>
      </c>
    </row>
    <row r="292" spans="4:15" x14ac:dyDescent="0.25">
      <c r="D292" s="192">
        <v>290</v>
      </c>
      <c r="E292" s="192" t="str">
        <f t="shared" si="8"/>
        <v>Ø-esterno in mm:</v>
      </c>
      <c r="F292" s="216">
        <f t="shared" si="9"/>
        <v>0</v>
      </c>
      <c r="H292">
        <v>289</v>
      </c>
      <c r="J292" t="s">
        <v>1700</v>
      </c>
      <c r="K292" t="s">
        <v>1687</v>
      </c>
      <c r="M292" t="s">
        <v>1831</v>
      </c>
      <c r="O292" t="s">
        <v>1843</v>
      </c>
    </row>
    <row r="293" spans="4:15" x14ac:dyDescent="0.25">
      <c r="D293" s="192">
        <v>291</v>
      </c>
      <c r="E293" s="192" t="str">
        <f t="shared" si="8"/>
        <v xml:space="preserve">Misura min. </v>
      </c>
      <c r="F293" s="216">
        <f t="shared" si="9"/>
        <v>0</v>
      </c>
      <c r="H293">
        <v>290</v>
      </c>
      <c r="J293" t="s">
        <v>1701</v>
      </c>
      <c r="K293" t="s">
        <v>2105</v>
      </c>
      <c r="M293" t="s">
        <v>2106</v>
      </c>
      <c r="O293" t="s">
        <v>2107</v>
      </c>
    </row>
    <row r="294" spans="4:15" x14ac:dyDescent="0.25">
      <c r="D294" s="192">
        <v>292</v>
      </c>
      <c r="E294" s="192" t="str">
        <f t="shared" si="8"/>
        <v>Guaina per cavi elettrici troppo alta"</v>
      </c>
      <c r="F294" s="216">
        <f t="shared" si="9"/>
        <v>0</v>
      </c>
      <c r="H294">
        <v>291</v>
      </c>
      <c r="J294" t="s">
        <v>1702</v>
      </c>
      <c r="K294" t="s">
        <v>1150</v>
      </c>
      <c r="M294" t="s">
        <v>1763</v>
      </c>
      <c r="O294" t="s">
        <v>1805</v>
      </c>
    </row>
    <row r="295" spans="4:15" x14ac:dyDescent="0.25">
      <c r="D295" s="192">
        <v>293</v>
      </c>
      <c r="E295" s="192">
        <f t="shared" si="8"/>
        <v>0</v>
      </c>
      <c r="F295" s="216">
        <f t="shared" si="9"/>
        <v>0</v>
      </c>
      <c r="H295">
        <v>292</v>
      </c>
      <c r="J295" t="s">
        <v>1704</v>
      </c>
      <c r="K295" t="s">
        <v>1703</v>
      </c>
      <c r="M295" t="s">
        <v>1764</v>
      </c>
      <c r="O295" t="s">
        <v>1806</v>
      </c>
    </row>
    <row r="296" spans="4:15" x14ac:dyDescent="0.25">
      <c r="D296" s="192">
        <v>294</v>
      </c>
      <c r="E296" s="192" t="str">
        <f t="shared" si="8"/>
        <v>Zona privadi entrata:</v>
      </c>
      <c r="F296" s="216">
        <f t="shared" si="9"/>
        <v>0</v>
      </c>
      <c r="H296">
        <v>293</v>
      </c>
    </row>
    <row r="297" spans="4:15" x14ac:dyDescent="0.25">
      <c r="D297" s="192">
        <v>295</v>
      </c>
      <c r="E297" s="192" t="str">
        <f t="shared" si="8"/>
        <v>Non disponibile per impianti singoli</v>
      </c>
      <c r="F297" s="216">
        <f t="shared" si="9"/>
        <v>0</v>
      </c>
      <c r="H297">
        <v>294</v>
      </c>
      <c r="K297" t="s">
        <v>1051</v>
      </c>
      <c r="M297" t="s">
        <v>1898</v>
      </c>
      <c r="O297" t="s">
        <v>1899</v>
      </c>
    </row>
    <row r="298" spans="4:15" x14ac:dyDescent="0.25">
      <c r="D298" s="192">
        <v>296</v>
      </c>
      <c r="E298" s="192" t="str">
        <f t="shared" si="8"/>
        <v xml:space="preserve">Entrata 1  (entrata più bassa)   </v>
      </c>
      <c r="F298" s="216">
        <f t="shared" si="9"/>
        <v>0</v>
      </c>
      <c r="H298">
        <v>295</v>
      </c>
      <c r="K298" t="s">
        <v>1741</v>
      </c>
      <c r="M298" t="s">
        <v>1765</v>
      </c>
      <c r="O298" t="s">
        <v>1807</v>
      </c>
    </row>
    <row r="299" spans="4:15" x14ac:dyDescent="0.25">
      <c r="D299" s="192">
        <v>297</v>
      </c>
      <c r="E299" s="192" t="str">
        <f t="shared" si="8"/>
        <v>Zona priva di entrata!</v>
      </c>
      <c r="F299" s="216">
        <f t="shared" si="9"/>
        <v>0</v>
      </c>
      <c r="H299">
        <v>296</v>
      </c>
      <c r="J299" t="s">
        <v>1705</v>
      </c>
      <c r="K299" s="418" t="s">
        <v>1078</v>
      </c>
      <c r="M299" t="s">
        <v>1894</v>
      </c>
      <c r="O299" t="s">
        <v>1895</v>
      </c>
    </row>
    <row r="300" spans="4:15" x14ac:dyDescent="0.25">
      <c r="D300" s="192">
        <v>298</v>
      </c>
      <c r="E300" s="192" t="str">
        <f t="shared" si="8"/>
        <v>Entrata al di sotto di entrata più bassa</v>
      </c>
      <c r="F300" s="216">
        <f t="shared" si="9"/>
        <v>0</v>
      </c>
      <c r="H300">
        <v>297</v>
      </c>
      <c r="J300" t="s">
        <v>1706</v>
      </c>
      <c r="K300" t="s">
        <v>1737</v>
      </c>
      <c r="M300" t="s">
        <v>1901</v>
      </c>
      <c r="O300" t="s">
        <v>1900</v>
      </c>
    </row>
    <row r="301" spans="4:15" x14ac:dyDescent="0.25">
      <c r="D301" s="192">
        <v>299</v>
      </c>
      <c r="E301" s="192" t="s">
        <v>1738</v>
      </c>
      <c r="F301" s="216">
        <f t="shared" si="9"/>
        <v>0</v>
      </c>
      <c r="H301">
        <v>298</v>
      </c>
      <c r="J301" t="s">
        <v>1708</v>
      </c>
      <c r="K301" t="s">
        <v>1707</v>
      </c>
      <c r="M301" t="s">
        <v>1896</v>
      </c>
      <c r="O301" t="s">
        <v>1897</v>
      </c>
    </row>
    <row r="302" spans="4:15" x14ac:dyDescent="0.25">
      <c r="D302" s="192">
        <v>300</v>
      </c>
      <c r="E302" s="192" t="str">
        <f t="shared" ref="E302:E311" si="10">IF($C$3=TRUE,VLOOKUP(D302,$H$4:$P$315,4,0),IF($C$4=TRUE,VLOOKUP(D302,$H$4:$P$315,6,0),IF($C$5=TRUE,VLOOKUP(D302,$H$4:$P$315,8,0),"")))</f>
        <v>Condotta di mandata pompa</v>
      </c>
      <c r="F302" s="216">
        <f t="shared" si="9"/>
        <v>0</v>
      </c>
      <c r="H302">
        <v>299</v>
      </c>
      <c r="J302" t="s">
        <v>1720</v>
      </c>
    </row>
    <row r="303" spans="4:15" x14ac:dyDescent="0.25">
      <c r="D303" s="192">
        <v>301</v>
      </c>
      <c r="E303" s="192" t="str">
        <f t="shared" si="10"/>
        <v>Guaina per cavi elettrici</v>
      </c>
      <c r="F303" s="216">
        <f t="shared" si="9"/>
        <v>0</v>
      </c>
      <c r="H303">
        <v>300</v>
      </c>
      <c r="J303" t="s">
        <v>1709</v>
      </c>
      <c r="K303" s="60" t="s">
        <v>947</v>
      </c>
      <c r="M303" t="s">
        <v>1766</v>
      </c>
      <c r="O303" t="s">
        <v>1808</v>
      </c>
    </row>
    <row r="304" spans="4:15" x14ac:dyDescent="0.25">
      <c r="D304" s="192">
        <v>302</v>
      </c>
      <c r="E304" s="192" t="str">
        <f t="shared" si="10"/>
        <v>Entrata 1</v>
      </c>
      <c r="F304" s="216">
        <f t="shared" si="9"/>
        <v>0</v>
      </c>
      <c r="H304">
        <v>301</v>
      </c>
      <c r="J304" t="s">
        <v>1710</v>
      </c>
      <c r="K304" s="62" t="s">
        <v>1032</v>
      </c>
      <c r="M304" t="s">
        <v>1767</v>
      </c>
      <c r="O304" t="s">
        <v>1809</v>
      </c>
    </row>
    <row r="305" spans="4:15" x14ac:dyDescent="0.25">
      <c r="D305" s="192">
        <v>303</v>
      </c>
      <c r="E305" s="192" t="str">
        <f t="shared" si="10"/>
        <v>Entrata 2</v>
      </c>
      <c r="F305" s="216">
        <f t="shared" si="9"/>
        <v>0</v>
      </c>
      <c r="H305">
        <v>302</v>
      </c>
      <c r="J305" t="s">
        <v>1711</v>
      </c>
      <c r="K305" s="62" t="s">
        <v>1031</v>
      </c>
      <c r="M305" t="s">
        <v>1885</v>
      </c>
      <c r="O305" t="s">
        <v>1870</v>
      </c>
    </row>
    <row r="306" spans="4:15" x14ac:dyDescent="0.25">
      <c r="D306" s="192">
        <v>304</v>
      </c>
      <c r="E306" s="192" t="str">
        <f t="shared" si="10"/>
        <v>Entrata 3</v>
      </c>
      <c r="F306" s="216">
        <f t="shared" si="9"/>
        <v>0</v>
      </c>
      <c r="H306">
        <v>303</v>
      </c>
      <c r="J306" t="s">
        <v>1712</v>
      </c>
      <c r="K306" s="62" t="s">
        <v>960</v>
      </c>
      <c r="M306" t="s">
        <v>1886</v>
      </c>
      <c r="O306" t="s">
        <v>1871</v>
      </c>
    </row>
    <row r="307" spans="4:15" x14ac:dyDescent="0.25">
      <c r="D307" s="192">
        <v>305</v>
      </c>
      <c r="E307" s="192" t="str">
        <f t="shared" si="10"/>
        <v>Entrata 4</v>
      </c>
      <c r="F307" s="216">
        <f t="shared" si="9"/>
        <v>0</v>
      </c>
      <c r="H307">
        <v>304</v>
      </c>
      <c r="J307" t="s">
        <v>1713</v>
      </c>
      <c r="K307" s="62" t="s">
        <v>954</v>
      </c>
      <c r="M307" t="s">
        <v>1887</v>
      </c>
      <c r="O307" t="s">
        <v>1872</v>
      </c>
    </row>
    <row r="308" spans="4:15" x14ac:dyDescent="0.25">
      <c r="D308" s="192">
        <v>306</v>
      </c>
      <c r="E308" s="192" t="str">
        <f t="shared" si="10"/>
        <v>Entrata 5</v>
      </c>
      <c r="F308" s="216">
        <f t="shared" si="9"/>
        <v>0</v>
      </c>
      <c r="H308">
        <v>305</v>
      </c>
      <c r="J308" t="s">
        <v>1714</v>
      </c>
      <c r="K308" s="62" t="s">
        <v>955</v>
      </c>
      <c r="M308" t="s">
        <v>1888</v>
      </c>
      <c r="O308" t="s">
        <v>1873</v>
      </c>
    </row>
    <row r="309" spans="4:15" x14ac:dyDescent="0.25">
      <c r="D309" s="192">
        <v>307</v>
      </c>
      <c r="E309" s="192" t="str">
        <f t="shared" si="10"/>
        <v>Entrata 6</v>
      </c>
      <c r="F309" s="216">
        <f t="shared" si="9"/>
        <v>0</v>
      </c>
      <c r="H309">
        <v>306</v>
      </c>
      <c r="J309" t="s">
        <v>1715</v>
      </c>
      <c r="K309" s="62" t="s">
        <v>956</v>
      </c>
      <c r="M309" t="s">
        <v>1889</v>
      </c>
      <c r="O309" t="s">
        <v>1874</v>
      </c>
    </row>
    <row r="310" spans="4:15" x14ac:dyDescent="0.25">
      <c r="D310" s="192">
        <v>308</v>
      </c>
      <c r="E310" s="192" t="str">
        <f t="shared" si="10"/>
        <v>Entrata 7</v>
      </c>
      <c r="F310" s="216">
        <f t="shared" si="9"/>
        <v>0</v>
      </c>
      <c r="H310">
        <v>307</v>
      </c>
      <c r="J310" t="s">
        <v>1716</v>
      </c>
      <c r="K310" s="62" t="s">
        <v>957</v>
      </c>
      <c r="M310" t="s">
        <v>1890</v>
      </c>
      <c r="O310" t="s">
        <v>1875</v>
      </c>
    </row>
    <row r="311" spans="4:15" x14ac:dyDescent="0.25">
      <c r="D311" s="192">
        <v>309</v>
      </c>
      <c r="E311" s="192" t="str">
        <f t="shared" si="10"/>
        <v>Entrata 8</v>
      </c>
      <c r="F311" s="216">
        <f t="shared" si="9"/>
        <v>0</v>
      </c>
      <c r="H311">
        <v>308</v>
      </c>
      <c r="J311" t="s">
        <v>1717</v>
      </c>
      <c r="K311" s="62" t="s">
        <v>958</v>
      </c>
      <c r="M311" t="s">
        <v>1891</v>
      </c>
      <c r="O311" t="s">
        <v>1876</v>
      </c>
    </row>
    <row r="312" spans="4:15" x14ac:dyDescent="0.25">
      <c r="D312" s="192">
        <v>310</v>
      </c>
      <c r="E312" s="192" t="str">
        <f t="shared" ref="E312:E338" si="11">IF($C$3=TRUE,VLOOKUP(D312,$H$4:$P$346,4,0),IF($C$4=TRUE,VLOOKUP(D312,$H$4:$P$346,6,0),IF($C$5=TRUE,VLOOKUP(D312,$H$4:$P$346,8,0),"")))</f>
        <v>Condotta di mandata pompa 2</v>
      </c>
      <c r="F312" s="216">
        <f t="shared" ref="F312:F338" si="12">IF($C$3=TRUE,VLOOKUP(D312,$H$4:$P$346,5,0),IF($C$4=TRUE,VLOOKUP(D312,$H$4:$P$346,7,0),IF($C$5=TRUE,VLOOKUP(D312,$H$4:$P$346,9,0),"")))</f>
        <v>0</v>
      </c>
      <c r="H312">
        <v>309</v>
      </c>
      <c r="J312" t="s">
        <v>1718</v>
      </c>
      <c r="K312" s="62" t="s">
        <v>959</v>
      </c>
      <c r="M312" t="s">
        <v>1892</v>
      </c>
      <c r="O312" t="s">
        <v>1877</v>
      </c>
    </row>
    <row r="313" spans="4:15" x14ac:dyDescent="0.25">
      <c r="D313" s="192">
        <v>311</v>
      </c>
      <c r="E313" s="192" t="str">
        <f t="shared" si="11"/>
        <v xml:space="preserve"> con </v>
      </c>
      <c r="F313" s="216">
        <f t="shared" si="12"/>
        <v>0</v>
      </c>
      <c r="H313">
        <v>310</v>
      </c>
      <c r="J313" t="s">
        <v>1719</v>
      </c>
      <c r="K313" s="65" t="s">
        <v>1055</v>
      </c>
      <c r="M313" t="s">
        <v>1768</v>
      </c>
      <c r="O313" t="s">
        <v>1810</v>
      </c>
    </row>
    <row r="314" spans="4:15" x14ac:dyDescent="0.25">
      <c r="D314" s="192">
        <v>312</v>
      </c>
      <c r="E314" s="192" t="str">
        <f t="shared" si="11"/>
        <v>Condotta di mandata troppo bassa</v>
      </c>
      <c r="F314" s="216">
        <f t="shared" si="12"/>
        <v>0</v>
      </c>
      <c r="H314">
        <v>311</v>
      </c>
      <c r="J314" t="s">
        <v>1721</v>
      </c>
      <c r="K314" s="118" t="s">
        <v>1740</v>
      </c>
      <c r="M314" t="s">
        <v>1769</v>
      </c>
      <c r="O314" t="s">
        <v>1811</v>
      </c>
    </row>
    <row r="315" spans="4:15" x14ac:dyDescent="0.25">
      <c r="D315" s="192">
        <v>313</v>
      </c>
      <c r="E315" s="192">
        <f t="shared" si="11"/>
        <v>0</v>
      </c>
      <c r="F315" s="216">
        <f t="shared" si="12"/>
        <v>0</v>
      </c>
      <c r="H315">
        <v>312</v>
      </c>
      <c r="K315" t="s">
        <v>1739</v>
      </c>
      <c r="M315" t="s">
        <v>1770</v>
      </c>
      <c r="O315" t="s">
        <v>1812</v>
      </c>
    </row>
    <row r="316" spans="4:15" x14ac:dyDescent="0.25">
      <c r="D316" s="192">
        <v>314</v>
      </c>
      <c r="E316" s="192" t="str">
        <f t="shared" si="11"/>
        <v>Livelli di commutazione dal fondo del pozzo:</v>
      </c>
      <c r="F316" s="216">
        <f t="shared" si="12"/>
        <v>0</v>
      </c>
      <c r="H316">
        <v>313</v>
      </c>
      <c r="J316" t="s">
        <v>1722</v>
      </c>
    </row>
    <row r="317" spans="4:15" x14ac:dyDescent="0.25">
      <c r="D317" s="192">
        <v>315</v>
      </c>
      <c r="E317" s="192" t="str">
        <f t="shared" si="11"/>
        <v>On 1:</v>
      </c>
      <c r="F317" s="216">
        <f t="shared" si="12"/>
        <v>0</v>
      </c>
      <c r="H317">
        <v>314</v>
      </c>
      <c r="J317" t="s">
        <v>1723</v>
      </c>
      <c r="K317" s="7" t="s">
        <v>1075</v>
      </c>
      <c r="M317" t="s">
        <v>1771</v>
      </c>
      <c r="O317" t="s">
        <v>1813</v>
      </c>
    </row>
    <row r="318" spans="4:15" x14ac:dyDescent="0.25">
      <c r="D318" s="192">
        <v>316</v>
      </c>
      <c r="E318" s="192" t="str">
        <f t="shared" si="11"/>
        <v xml:space="preserve">Off: </v>
      </c>
      <c r="F318" s="216">
        <f t="shared" si="12"/>
        <v>0</v>
      </c>
      <c r="H318">
        <v>315</v>
      </c>
      <c r="J318" t="s">
        <v>1724</v>
      </c>
      <c r="K318" t="s">
        <v>1072</v>
      </c>
      <c r="M318" t="s">
        <v>1878</v>
      </c>
      <c r="O318" t="s">
        <v>1814</v>
      </c>
    </row>
    <row r="319" spans="4:15" x14ac:dyDescent="0.25">
      <c r="D319" s="192">
        <v>317</v>
      </c>
      <c r="E319" s="192" t="str">
        <f t="shared" si="11"/>
        <v>On 2:</v>
      </c>
      <c r="F319" s="216">
        <f t="shared" si="12"/>
        <v>0</v>
      </c>
      <c r="H319">
        <v>316</v>
      </c>
      <c r="J319" t="s">
        <v>1725</v>
      </c>
      <c r="K319" t="s">
        <v>1882</v>
      </c>
      <c r="M319" t="s">
        <v>1883</v>
      </c>
      <c r="O319" t="s">
        <v>1884</v>
      </c>
    </row>
    <row r="320" spans="4:15" x14ac:dyDescent="0.25">
      <c r="D320" s="192">
        <v>318</v>
      </c>
      <c r="E320" s="192" t="str">
        <f t="shared" si="11"/>
        <v>Allarme:</v>
      </c>
      <c r="F320" s="216">
        <f t="shared" si="12"/>
        <v>0</v>
      </c>
      <c r="H320">
        <v>317</v>
      </c>
      <c r="J320" t="s">
        <v>1726</v>
      </c>
      <c r="K320" t="s">
        <v>1880</v>
      </c>
      <c r="M320" t="s">
        <v>1879</v>
      </c>
      <c r="O320" t="s">
        <v>1881</v>
      </c>
    </row>
    <row r="321" spans="4:15" x14ac:dyDescent="0.25">
      <c r="D321" s="192">
        <v>319</v>
      </c>
      <c r="E321" s="192">
        <f t="shared" si="11"/>
        <v>0</v>
      </c>
      <c r="F321" s="216">
        <f t="shared" si="12"/>
        <v>0</v>
      </c>
      <c r="H321">
        <v>318</v>
      </c>
      <c r="J321" t="s">
        <v>1727</v>
      </c>
      <c r="K321" t="s">
        <v>1073</v>
      </c>
      <c r="M321" t="s">
        <v>1772</v>
      </c>
      <c r="O321" t="s">
        <v>1815</v>
      </c>
    </row>
    <row r="322" spans="4:15" x14ac:dyDescent="0.25">
      <c r="D322" s="192">
        <v>320</v>
      </c>
      <c r="E322" s="192" t="str">
        <f t="shared" si="11"/>
        <v>Pompa:</v>
      </c>
      <c r="F322" s="216">
        <f t="shared" si="12"/>
        <v>0</v>
      </c>
      <c r="H322">
        <v>319</v>
      </c>
    </row>
    <row r="323" spans="4:15" x14ac:dyDescent="0.25">
      <c r="D323" s="192">
        <v>321</v>
      </c>
      <c r="E323" s="192" t="str">
        <f t="shared" si="11"/>
        <v xml:space="preserve">Scheda di configurazione: </v>
      </c>
      <c r="F323" s="216">
        <f t="shared" si="12"/>
        <v>0</v>
      </c>
      <c r="H323">
        <v>320</v>
      </c>
      <c r="J323" t="s">
        <v>1728</v>
      </c>
      <c r="K323" s="7" t="s">
        <v>1076</v>
      </c>
      <c r="M323" t="s">
        <v>1773</v>
      </c>
      <c r="O323" t="s">
        <v>1816</v>
      </c>
    </row>
    <row r="324" spans="4:15" x14ac:dyDescent="0.25">
      <c r="D324" s="192">
        <v>322</v>
      </c>
      <c r="E324" s="192" t="str">
        <f t="shared" si="11"/>
        <v>Codice per il trasferimento dati alla scheda di configurazione</v>
      </c>
      <c r="F324" s="216">
        <f t="shared" si="12"/>
        <v>0</v>
      </c>
      <c r="H324">
        <v>321</v>
      </c>
      <c r="J324" t="s">
        <v>1729</v>
      </c>
      <c r="K324" s="7" t="s">
        <v>1141</v>
      </c>
      <c r="M324" t="s">
        <v>1774</v>
      </c>
      <c r="O324" t="s">
        <v>1817</v>
      </c>
    </row>
    <row r="325" spans="4:15" x14ac:dyDescent="0.25">
      <c r="D325" s="192">
        <v>323</v>
      </c>
      <c r="E325" s="192">
        <f t="shared" si="11"/>
        <v>0</v>
      </c>
      <c r="F325" s="216">
        <f t="shared" si="12"/>
        <v>0</v>
      </c>
      <c r="H325">
        <v>322</v>
      </c>
      <c r="J325" t="s">
        <v>1730</v>
      </c>
      <c r="K325" s="178" t="s">
        <v>1142</v>
      </c>
      <c r="M325" t="s">
        <v>1775</v>
      </c>
      <c r="O325" t="s">
        <v>1818</v>
      </c>
    </row>
    <row r="326" spans="4:15" x14ac:dyDescent="0.25">
      <c r="D326" s="192">
        <v>324</v>
      </c>
      <c r="E326" s="192" t="str">
        <f t="shared" si="11"/>
        <v>Raccordi:</v>
      </c>
      <c r="F326" s="216">
        <f t="shared" si="12"/>
        <v>0</v>
      </c>
      <c r="H326">
        <v>323</v>
      </c>
    </row>
    <row r="327" spans="4:15" x14ac:dyDescent="0.25">
      <c r="D327" s="192">
        <v>325</v>
      </c>
      <c r="E327" s="192">
        <f t="shared" si="11"/>
        <v>0</v>
      </c>
      <c r="F327" s="216">
        <f t="shared" si="12"/>
        <v>0</v>
      </c>
      <c r="H327">
        <v>324</v>
      </c>
      <c r="J327" t="s">
        <v>1731</v>
      </c>
      <c r="K327" s="7" t="s">
        <v>1068</v>
      </c>
      <c r="M327" t="s">
        <v>1776</v>
      </c>
      <c r="O327" t="s">
        <v>1819</v>
      </c>
    </row>
    <row r="328" spans="4:15" x14ac:dyDescent="0.25">
      <c r="D328" s="192">
        <v>326</v>
      </c>
      <c r="E328" s="192" t="str">
        <f t="shared" si="11"/>
        <v>senza raccordi</v>
      </c>
      <c r="F328" s="216">
        <f t="shared" si="12"/>
        <v>0</v>
      </c>
      <c r="H328">
        <v>325</v>
      </c>
      <c r="J328" t="s">
        <v>1732</v>
      </c>
    </row>
    <row r="329" spans="4:15" x14ac:dyDescent="0.25">
      <c r="D329" s="192">
        <v>327</v>
      </c>
      <c r="E329" s="192" t="str">
        <f t="shared" si="11"/>
        <v>Valvola di non ritorno all'interno</v>
      </c>
      <c r="F329" s="216">
        <f t="shared" si="12"/>
        <v>0</v>
      </c>
      <c r="H329">
        <v>326</v>
      </c>
      <c r="J329" t="s">
        <v>1733</v>
      </c>
      <c r="K329" s="28" t="s">
        <v>1071</v>
      </c>
      <c r="M329" t="s">
        <v>1777</v>
      </c>
      <c r="O329" t="s">
        <v>1820</v>
      </c>
    </row>
    <row r="330" spans="4:15" x14ac:dyDescent="0.25">
      <c r="D330" s="192">
        <v>328</v>
      </c>
      <c r="E330" s="192" t="str">
        <f t="shared" si="11"/>
        <v>Raccordi all'interno</v>
      </c>
      <c r="F330" s="216">
        <f t="shared" si="12"/>
        <v>0</v>
      </c>
      <c r="H330">
        <v>327</v>
      </c>
      <c r="J330" t="s">
        <v>1734</v>
      </c>
      <c r="K330" s="28" t="s">
        <v>1070</v>
      </c>
      <c r="M330" t="s">
        <v>1778</v>
      </c>
      <c r="O330" t="s">
        <v>1821</v>
      </c>
    </row>
    <row r="331" spans="4:15" x14ac:dyDescent="0.25">
      <c r="D331" s="192">
        <v>329</v>
      </c>
      <c r="E331" s="192" t="str">
        <f t="shared" si="11"/>
        <v xml:space="preserve">ATTENZIONE collisione </v>
      </c>
      <c r="F331" s="216">
        <f t="shared" si="12"/>
        <v>0</v>
      </c>
      <c r="H331">
        <v>328</v>
      </c>
      <c r="J331" t="s">
        <v>1735</v>
      </c>
      <c r="K331" s="28" t="s">
        <v>1069</v>
      </c>
      <c r="M331" t="s">
        <v>1779</v>
      </c>
      <c r="O331" t="s">
        <v>1822</v>
      </c>
    </row>
    <row r="332" spans="4:15" x14ac:dyDescent="0.25">
      <c r="D332" s="192">
        <v>330</v>
      </c>
      <c r="E332" s="192" t="str">
        <f t="shared" si="11"/>
        <v>Pozzo fuori dal segmento</v>
      </c>
      <c r="F332" s="216">
        <f t="shared" si="12"/>
        <v>0</v>
      </c>
      <c r="H332">
        <v>329</v>
      </c>
      <c r="K332" t="s">
        <v>1742</v>
      </c>
      <c r="M332" t="s">
        <v>1780</v>
      </c>
      <c r="O332" t="s">
        <v>1823</v>
      </c>
    </row>
    <row r="333" spans="4:15" x14ac:dyDescent="0.25">
      <c r="D333" s="192">
        <v>331</v>
      </c>
      <c r="E333" s="192" t="str">
        <f t="shared" si="11"/>
        <v xml:space="preserve">a destra dei zero </v>
      </c>
      <c r="F333" s="216">
        <f t="shared" si="12"/>
        <v>0</v>
      </c>
      <c r="H333">
        <v>330</v>
      </c>
      <c r="K333" t="s">
        <v>1743</v>
      </c>
      <c r="M333" t="s">
        <v>1781</v>
      </c>
      <c r="O333" t="s">
        <v>1824</v>
      </c>
    </row>
    <row r="334" spans="4:15" x14ac:dyDescent="0.25">
      <c r="D334" s="192">
        <v>332</v>
      </c>
      <c r="E334" s="192" t="str">
        <f t="shared" si="11"/>
        <v>a sinistra dei zero</v>
      </c>
      <c r="F334" s="216">
        <f t="shared" si="12"/>
        <v>0</v>
      </c>
      <c r="H334">
        <v>331</v>
      </c>
      <c r="K334" t="s">
        <v>1838</v>
      </c>
      <c r="M334" t="s">
        <v>1840</v>
      </c>
      <c r="O334" s="501" t="s">
        <v>1845</v>
      </c>
    </row>
    <row r="335" spans="4:15" x14ac:dyDescent="0.25">
      <c r="D335" s="192">
        <v>333</v>
      </c>
      <c r="E335" s="192" t="str">
        <f t="shared" si="11"/>
        <v xml:space="preserve">le perforazioni del pozzo devono essere eseguite dalla direzione del cantiere </v>
      </c>
      <c r="F335" s="216">
        <f t="shared" si="12"/>
        <v>0</v>
      </c>
      <c r="H335">
        <v>332</v>
      </c>
      <c r="K335" t="s">
        <v>1839</v>
      </c>
      <c r="M335" t="s">
        <v>1841</v>
      </c>
      <c r="O335" t="s">
        <v>1846</v>
      </c>
    </row>
    <row r="336" spans="4:15" x14ac:dyDescent="0.25">
      <c r="D336" s="192">
        <v>334</v>
      </c>
      <c r="E336" s="192" t="str">
        <f t="shared" si="11"/>
        <v>Nessun disegno disponibile</v>
      </c>
      <c r="F336" s="216">
        <f t="shared" si="12"/>
        <v>0</v>
      </c>
      <c r="H336">
        <v>333</v>
      </c>
      <c r="K336" t="s">
        <v>1862</v>
      </c>
      <c r="M336" t="s">
        <v>1866</v>
      </c>
      <c r="O336" t="s">
        <v>1864</v>
      </c>
    </row>
    <row r="337" spans="4:15" x14ac:dyDescent="0.25">
      <c r="D337" s="192">
        <v>335</v>
      </c>
      <c r="E337" s="192" t="str">
        <f t="shared" si="11"/>
        <v xml:space="preserve">Cond. di mandata (PDL) </v>
      </c>
      <c r="F337" s="115">
        <f t="shared" si="12"/>
        <v>0</v>
      </c>
      <c r="H337">
        <v>334</v>
      </c>
      <c r="K337" t="s">
        <v>1668</v>
      </c>
      <c r="M337" t="s">
        <v>1865</v>
      </c>
      <c r="O337" t="s">
        <v>1863</v>
      </c>
    </row>
    <row r="338" spans="4:15" x14ac:dyDescent="0.25">
      <c r="D338" s="192">
        <v>336</v>
      </c>
      <c r="E338" s="192">
        <f t="shared" si="11"/>
        <v>0</v>
      </c>
      <c r="F338" s="115">
        <f t="shared" si="12"/>
        <v>0</v>
      </c>
      <c r="H338">
        <v>335</v>
      </c>
      <c r="K338" t="s">
        <v>1868</v>
      </c>
      <c r="M338" t="s">
        <v>1867</v>
      </c>
      <c r="O338" t="s">
        <v>1869</v>
      </c>
    </row>
    <row r="339" spans="4:15" x14ac:dyDescent="0.25">
      <c r="D339" s="192"/>
      <c r="E339" s="192"/>
      <c r="H339">
        <v>336</v>
      </c>
      <c r="K339" t="s">
        <v>1922</v>
      </c>
    </row>
    <row r="340" spans="4:15" ht="18" x14ac:dyDescent="0.35">
      <c r="D340">
        <v>337</v>
      </c>
      <c r="E340" t="e">
        <f>IF($C$3=TRUE,VLOOKUP(D340,$H$4:$P$340,4,0),IF($C$4=TRUE,VLOOKUP(D340,$H$4:$P$315,6,0),IF($C$5=TRUE,VLOOKUP(D340,$H$4:$P$315,8,0),"")))</f>
        <v>#N/A</v>
      </c>
      <c r="F340" s="115" t="e">
        <f>IF($C$3=TRUE,VLOOKUP(D340,$H$4:$P$340,5,0),IF($C$4=TRUE,VLOOKUP(D340,$H$4:$P$315,7,0),IF($C$5=TRUE,VLOOKUP(D340,$H$4:$P$315,9,0),"")))</f>
        <v>#N/A</v>
      </c>
      <c r="H340">
        <v>337</v>
      </c>
      <c r="K340" t="s">
        <v>2121</v>
      </c>
      <c r="M340" t="s">
        <v>2123</v>
      </c>
      <c r="O340" t="s">
        <v>2122</v>
      </c>
    </row>
    <row r="341" spans="4:15" x14ac:dyDescent="0.25">
      <c r="D341">
        <v>338</v>
      </c>
      <c r="E341" t="str">
        <f>IF($C$3=TRUE,VLOOKUP(D341,$H$4:$P$341,4,0),IF($C$4=TRUE,VLOOKUP(D341,$H$4:$P$341,6,0),IF($C$5=TRUE,VLOOKUP(D341,$H$4:$P$341,8,0),"")))</f>
        <v xml:space="preserve"> m.s.l.m.</v>
      </c>
      <c r="F341" s="115" t="e">
        <f>IF($C$3=TRUE,VLOOKUP(D341,$H$4:$P$340,5,0),IF($C$4=TRUE,VLOOKUP(D341,$H$4:$P$315,7,0),IF($C$5=TRUE,VLOOKUP(D341,$H$4:$P$315,9,0),"")))</f>
        <v>#N/A</v>
      </c>
      <c r="H341">
        <v>338</v>
      </c>
      <c r="K341" t="s">
        <v>2126</v>
      </c>
      <c r="M341" t="s">
        <v>2127</v>
      </c>
      <c r="O341" t="s">
        <v>2128</v>
      </c>
    </row>
    <row r="342" spans="4:15" x14ac:dyDescent="0.25">
      <c r="D342">
        <v>339</v>
      </c>
      <c r="E342" t="str">
        <f>IF($C$3=TRUE,VLOOKUP(D342,$H$4:$P$342,4,0),IF($C$4=TRUE,VLOOKUP(D342,$H$4:$P$342,6,0),IF($C$5=TRUE,VLOOKUP(D342,$H$4:$P$342,8,0),"")))</f>
        <v>BS coperchio</v>
      </c>
      <c r="F342" s="115" t="e">
        <f>IF($C$3=TRUE,VLOOKUP(D342,$H$4:$P$340,5,0),IF($C$4=TRUE,VLOOKUP(D342,$H$4:$P$315,7,0),IF($C$5=TRUE,VLOOKUP(D342,$H$4:$P$315,9,0),"")))</f>
        <v>#N/A</v>
      </c>
      <c r="H342">
        <v>339</v>
      </c>
      <c r="K342" t="s">
        <v>2129</v>
      </c>
      <c r="M342" t="s">
        <v>2131</v>
      </c>
      <c r="O342" t="s">
        <v>2130</v>
      </c>
    </row>
  </sheetData>
  <customSheetViews>
    <customSheetView guid="{293DBBB2-31AB-49B6-80A6-A09BA6CFC857}" state="hidden" topLeftCell="M187">
      <selection activeCell="Q213" sqref="Q213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19" zoomScale="85" zoomScaleNormal="85" workbookViewId="0">
      <selection activeCell="G47" sqref="G47"/>
    </sheetView>
  </sheetViews>
  <sheetFormatPr baseColWidth="10" defaultRowHeight="15" x14ac:dyDescent="0.25"/>
  <cols>
    <col min="1" max="1" width="24.140625" bestFit="1" customWidth="1"/>
  </cols>
  <sheetData>
    <row r="1" spans="1:9" ht="15.75" thickBot="1" x14ac:dyDescent="0.3"/>
    <row r="2" spans="1:9" ht="15.75" thickBot="1" x14ac:dyDescent="0.3">
      <c r="A2" t="s">
        <v>1125</v>
      </c>
      <c r="B2" s="455" t="e">
        <f>IF(Sprachen!E332=Schachtanfrage!I4,20,IF(Tabelle3!A8=TRUE,1,IF(Tabelle3!A9=TRUE,2,"")))</f>
        <v>#VALUE!</v>
      </c>
      <c r="C2" t="e">
        <f t="shared" ref="C2:C9" si="0">IF(B2=0,"",B2)</f>
        <v>#VALUE!</v>
      </c>
      <c r="D2" t="e">
        <f t="shared" ref="D2:D43" si="1">IF(AND(B2&gt;0,B2&lt;10),"000"&amp;B2,IF(AND(B2&gt;9,B2&lt;100),"00"&amp;B2,IF(AND(B2&gt;99,B2&lt;1000),"0"&amp;B2,IF(B2&gt;999,B2,IF(B2="","0000",IF(B2=0,"0000",""))))))</f>
        <v>#VALUE!</v>
      </c>
      <c r="E2" t="e">
        <f>D2&amp;D3&amp;D4&amp;D6&amp;D7&amp;D9&amp;D10&amp;D11&amp;D13&amp;D14&amp;D15&amp;D18&amp;D19&amp;D20&amp;D23&amp;D24&amp;D25&amp;D28&amp;D29&amp;D30&amp;D33&amp;D34&amp;D35&amp;D38&amp;D39&amp;D40&amp;D43&amp;D44&amp;D45&amp;D48&amp;D49&amp;D50&amp;D52&amp;D53&amp;D54&amp;D55</f>
        <v>#VALUE!</v>
      </c>
      <c r="G2" t="e">
        <f>LEFT(E2,4)</f>
        <v>#VALUE!</v>
      </c>
      <c r="H2" t="e">
        <f>LEN(E2)</f>
        <v>#VALUE!</v>
      </c>
    </row>
    <row r="3" spans="1:9" ht="15.75" thickBot="1" x14ac:dyDescent="0.3">
      <c r="A3" t="s">
        <v>254</v>
      </c>
      <c r="B3" s="455">
        <f>Tabelle3!BG54</f>
        <v>0</v>
      </c>
      <c r="C3" t="str">
        <f>IF(B3=0,"",B3)</f>
        <v/>
      </c>
      <c r="D3" t="str">
        <f t="shared" si="1"/>
        <v>0000</v>
      </c>
      <c r="G3" t="e">
        <f>LEFT(I3,4)</f>
        <v>#VALUE!</v>
      </c>
      <c r="H3" t="e">
        <f>H2-4</f>
        <v>#VALUE!</v>
      </c>
      <c r="I3" t="e">
        <f>RIGHT($E$2,H3)</f>
        <v>#VALUE!</v>
      </c>
    </row>
    <row r="4" spans="1:9" ht="15.75" thickBot="1" x14ac:dyDescent="0.3">
      <c r="A4" t="s">
        <v>349</v>
      </c>
      <c r="B4" s="456" t="e">
        <f>Kollision!$A$50</f>
        <v>#VALUE!</v>
      </c>
      <c r="C4" t="e">
        <f>IF(B4=0,"",B4)</f>
        <v>#VALUE!</v>
      </c>
      <c r="D4" t="e">
        <f t="shared" si="1"/>
        <v>#VALUE!</v>
      </c>
      <c r="G4" t="e">
        <f>LEFT(I4,4)</f>
        <v>#VALUE!</v>
      </c>
      <c r="H4" t="e">
        <f>H3-4</f>
        <v>#VALUE!</v>
      </c>
      <c r="I4" t="e">
        <f>RIGHT($E$2,H4)</f>
        <v>#VALUE!</v>
      </c>
    </row>
    <row r="5" spans="1:9" ht="15.75" thickBot="1" x14ac:dyDescent="0.3">
      <c r="B5" s="457"/>
      <c r="I5" t="e">
        <f t="shared" ref="I5:I20" si="2">RIGHT($E$2,H5)</f>
        <v>#VALUE!</v>
      </c>
    </row>
    <row r="6" spans="1:9" ht="15.75" thickBot="1" x14ac:dyDescent="0.3">
      <c r="A6" t="s">
        <v>1126</v>
      </c>
      <c r="B6" s="463" t="e">
        <f>Tabelle3!AE5</f>
        <v>#VALUE!</v>
      </c>
      <c r="C6" t="e">
        <f t="shared" si="0"/>
        <v>#VALUE!</v>
      </c>
      <c r="D6" t="e">
        <f>IF(AND(B6&gt;0,B6&lt;10),"000"&amp;B6,IF(AND(B6&gt;9,B6&lt;100),"00"&amp;B6,IF(AND(B6&gt;99,B6&lt;1000),"0"&amp;B6,IF(B6&gt;999,B6,IF(B6="","0000",IF(B6=0,"0000",""))))))</f>
        <v>#VALUE!</v>
      </c>
      <c r="G6" t="e">
        <f>LEFT(I6,4)</f>
        <v>#VALUE!</v>
      </c>
      <c r="H6" t="e">
        <f>H4-4</f>
        <v>#VALUE!</v>
      </c>
      <c r="I6" t="e">
        <f t="shared" si="2"/>
        <v>#VALUE!</v>
      </c>
    </row>
    <row r="7" spans="1:9" ht="15.75" thickBot="1" x14ac:dyDescent="0.3">
      <c r="A7" t="s">
        <v>1127</v>
      </c>
      <c r="B7" s="455" t="e">
        <f>IF(Linkauswahl!$G$96="",0,Linkauswahl!$G$96)</f>
        <v>#N/A</v>
      </c>
      <c r="C7" t="e">
        <f t="shared" si="0"/>
        <v>#N/A</v>
      </c>
      <c r="D7" t="e">
        <f t="shared" si="1"/>
        <v>#N/A</v>
      </c>
      <c r="G7" t="e">
        <f t="shared" ref="G7:G39" si="3">LEFT(I7,4)</f>
        <v>#VALUE!</v>
      </c>
      <c r="H7" t="e">
        <f>H6-4</f>
        <v>#VALUE!</v>
      </c>
      <c r="I7" t="e">
        <f t="shared" si="2"/>
        <v>#VALUE!</v>
      </c>
    </row>
    <row r="8" spans="1:9" ht="15.75" thickBot="1" x14ac:dyDescent="0.3">
      <c r="A8" t="s">
        <v>1128</v>
      </c>
      <c r="B8" s="457"/>
      <c r="C8" s="137"/>
      <c r="G8" t="e">
        <f t="shared" si="3"/>
        <v>#VALUE!</v>
      </c>
      <c r="I8" t="e">
        <f t="shared" si="2"/>
        <v>#VALUE!</v>
      </c>
    </row>
    <row r="9" spans="1:9" x14ac:dyDescent="0.25">
      <c r="A9" t="s">
        <v>1129</v>
      </c>
      <c r="B9" s="458">
        <f>Schachtanfrage!$E$20</f>
        <v>0</v>
      </c>
      <c r="C9" t="str">
        <f t="shared" si="0"/>
        <v/>
      </c>
      <c r="D9" t="str">
        <f t="shared" si="1"/>
        <v>0000</v>
      </c>
      <c r="G9" t="e">
        <f t="shared" si="3"/>
        <v>#VALUE!</v>
      </c>
      <c r="H9" t="e">
        <f>H7-4</f>
        <v>#VALUE!</v>
      </c>
      <c r="I9" t="e">
        <f t="shared" si="2"/>
        <v>#VALUE!</v>
      </c>
    </row>
    <row r="10" spans="1:9" ht="15.75" thickBot="1" x14ac:dyDescent="0.3">
      <c r="A10" t="s">
        <v>1130</v>
      </c>
      <c r="B10" s="456">
        <f>Schachtanfrage!$E$21</f>
        <v>0</v>
      </c>
      <c r="C10" t="str">
        <f>IF(B10=0,"",B10)</f>
        <v/>
      </c>
      <c r="D10" t="str">
        <f t="shared" si="1"/>
        <v>0000</v>
      </c>
      <c r="G10" t="e">
        <f t="shared" si="3"/>
        <v>#VALUE!</v>
      </c>
      <c r="H10" t="e">
        <f>H9-4</f>
        <v>#VALUE!</v>
      </c>
      <c r="I10" t="e">
        <f t="shared" si="2"/>
        <v>#VALUE!</v>
      </c>
    </row>
    <row r="11" spans="1:9" ht="15.75" thickBot="1" x14ac:dyDescent="0.3">
      <c r="A11" t="s">
        <v>1131</v>
      </c>
      <c r="B11" s="455" t="str">
        <f>IF(C11="","",IF(C11=0,"",C11))</f>
        <v/>
      </c>
      <c r="C11">
        <f>IF(Linkauswahl!F94&gt;51,Linkauswahl!F94,Linkauswahl!F75)</f>
        <v>0</v>
      </c>
      <c r="D11" t="str">
        <f t="shared" si="1"/>
        <v/>
      </c>
      <c r="G11" t="e">
        <f>LEFT(I11,4)</f>
        <v>#VALUE!</v>
      </c>
      <c r="H11" t="e">
        <f>H10-4</f>
        <v>#VALUE!</v>
      </c>
      <c r="I11" t="e">
        <f>RIGHT($E$2,H11)</f>
        <v>#VALUE!</v>
      </c>
    </row>
    <row r="12" spans="1:9" x14ac:dyDescent="0.25">
      <c r="A12" t="s">
        <v>1132</v>
      </c>
      <c r="G12" t="e">
        <f t="shared" si="3"/>
        <v>#VALUE!</v>
      </c>
      <c r="I12" t="e">
        <f t="shared" si="2"/>
        <v>#VALUE!</v>
      </c>
    </row>
    <row r="13" spans="1:9" x14ac:dyDescent="0.25">
      <c r="A13" t="s">
        <v>1129</v>
      </c>
      <c r="B13" s="459">
        <f>IF(Schachtanfrage!E28="",0,Schachtanfrage!E28)</f>
        <v>0</v>
      </c>
      <c r="D13" t="str">
        <f t="shared" si="1"/>
        <v>0000</v>
      </c>
      <c r="G13" t="e">
        <f t="shared" si="3"/>
        <v>#VALUE!</v>
      </c>
      <c r="H13" t="e">
        <f>H11-4</f>
        <v>#VALUE!</v>
      </c>
      <c r="I13" t="e">
        <f t="shared" si="2"/>
        <v>#VALUE!</v>
      </c>
    </row>
    <row r="14" spans="1:9" x14ac:dyDescent="0.25">
      <c r="A14" t="s">
        <v>1130</v>
      </c>
      <c r="B14" s="459">
        <f>IF(Schachtanfrage!E29="",0,Schachtanfrage!E29)</f>
        <v>0</v>
      </c>
      <c r="D14" t="str">
        <f t="shared" si="1"/>
        <v>0000</v>
      </c>
      <c r="G14" t="e">
        <f t="shared" si="3"/>
        <v>#VALUE!</v>
      </c>
      <c r="H14" t="e">
        <f>H13-4</f>
        <v>#VALUE!</v>
      </c>
      <c r="I14" t="e">
        <f t="shared" si="2"/>
        <v>#VALUE!</v>
      </c>
    </row>
    <row r="15" spans="1:9" x14ac:dyDescent="0.25">
      <c r="A15" s="17" t="s">
        <v>1133</v>
      </c>
      <c r="B15" s="459">
        <f>IF(Schachtanfrage!E30="",0,Schachtanfrage!E30)</f>
        <v>0</v>
      </c>
      <c r="D15" t="str">
        <f t="shared" si="1"/>
        <v>0000</v>
      </c>
      <c r="G15" t="e">
        <f t="shared" si="3"/>
        <v>#VALUE!</v>
      </c>
      <c r="H15" t="e">
        <f>H14-4</f>
        <v>#VALUE!</v>
      </c>
      <c r="I15" t="e">
        <f t="shared" si="2"/>
        <v>#VALUE!</v>
      </c>
    </row>
    <row r="16" spans="1:9" x14ac:dyDescent="0.25">
      <c r="G16" t="e">
        <f t="shared" si="3"/>
        <v>#VALUE!</v>
      </c>
      <c r="I16" t="e">
        <f t="shared" si="2"/>
        <v>#VALUE!</v>
      </c>
    </row>
    <row r="17" spans="1:9" x14ac:dyDescent="0.25">
      <c r="A17" t="s">
        <v>1134</v>
      </c>
      <c r="G17" t="str">
        <f t="shared" si="3"/>
        <v/>
      </c>
    </row>
    <row r="18" spans="1:9" x14ac:dyDescent="0.25">
      <c r="A18" t="s">
        <v>1129</v>
      </c>
      <c r="B18" s="459">
        <f>IF(Schachtanfrage!E33="",0,Schachtanfrage!E33)</f>
        <v>0</v>
      </c>
      <c r="D18" t="str">
        <f t="shared" si="1"/>
        <v>0000</v>
      </c>
      <c r="G18" t="e">
        <f t="shared" si="3"/>
        <v>#VALUE!</v>
      </c>
      <c r="H18" t="e">
        <f>H15-4</f>
        <v>#VALUE!</v>
      </c>
      <c r="I18" t="e">
        <f t="shared" si="2"/>
        <v>#VALUE!</v>
      </c>
    </row>
    <row r="19" spans="1:9" x14ac:dyDescent="0.25">
      <c r="A19" t="s">
        <v>1130</v>
      </c>
      <c r="B19" s="459">
        <f>IF(Schachtanfrage!E34="",0,Schachtanfrage!E34)</f>
        <v>0</v>
      </c>
      <c r="D19" t="str">
        <f t="shared" si="1"/>
        <v>0000</v>
      </c>
      <c r="G19" t="e">
        <f t="shared" si="3"/>
        <v>#VALUE!</v>
      </c>
      <c r="H19" t="e">
        <f>H18-4</f>
        <v>#VALUE!</v>
      </c>
      <c r="I19" t="e">
        <f t="shared" si="2"/>
        <v>#VALUE!</v>
      </c>
    </row>
    <row r="20" spans="1:9" x14ac:dyDescent="0.25">
      <c r="A20" s="17" t="s">
        <v>1133</v>
      </c>
      <c r="B20" s="459">
        <f>IF(Schachtanfrage!E35="",0,Schachtanfrage!E35)</f>
        <v>0</v>
      </c>
      <c r="D20" t="str">
        <f t="shared" si="1"/>
        <v>0000</v>
      </c>
      <c r="G20" t="e">
        <f t="shared" si="3"/>
        <v>#VALUE!</v>
      </c>
      <c r="H20" t="e">
        <f>H19-4</f>
        <v>#VALUE!</v>
      </c>
      <c r="I20" t="e">
        <f t="shared" si="2"/>
        <v>#VALUE!</v>
      </c>
    </row>
    <row r="21" spans="1:9" x14ac:dyDescent="0.25">
      <c r="G21" t="str">
        <f t="shared" si="3"/>
        <v/>
      </c>
    </row>
    <row r="22" spans="1:9" x14ac:dyDescent="0.25">
      <c r="A22" t="s">
        <v>1135</v>
      </c>
      <c r="G22" t="str">
        <f t="shared" si="3"/>
        <v/>
      </c>
    </row>
    <row r="23" spans="1:9" x14ac:dyDescent="0.25">
      <c r="A23" t="s">
        <v>1129</v>
      </c>
      <c r="B23" s="459">
        <f>IF(Schachtanfrage!E38="",0,Schachtanfrage!E38)</f>
        <v>0</v>
      </c>
      <c r="D23" t="str">
        <f t="shared" si="1"/>
        <v>0000</v>
      </c>
      <c r="G23" t="e">
        <f t="shared" si="3"/>
        <v>#VALUE!</v>
      </c>
      <c r="H23" t="e">
        <f>H20-4</f>
        <v>#VALUE!</v>
      </c>
      <c r="I23" t="e">
        <f t="shared" ref="I23:I25" si="4">RIGHT($E$2,H23)</f>
        <v>#VALUE!</v>
      </c>
    </row>
    <row r="24" spans="1:9" x14ac:dyDescent="0.25">
      <c r="A24" t="s">
        <v>1130</v>
      </c>
      <c r="B24" s="459">
        <f>IF(Schachtanfrage!E39="",0,Schachtanfrage!E39)</f>
        <v>0</v>
      </c>
      <c r="D24" t="str">
        <f t="shared" si="1"/>
        <v>0000</v>
      </c>
      <c r="G24" t="e">
        <f t="shared" si="3"/>
        <v>#VALUE!</v>
      </c>
      <c r="H24" t="e">
        <f>H23-4</f>
        <v>#VALUE!</v>
      </c>
      <c r="I24" t="e">
        <f t="shared" si="4"/>
        <v>#VALUE!</v>
      </c>
    </row>
    <row r="25" spans="1:9" x14ac:dyDescent="0.25">
      <c r="A25" s="17" t="s">
        <v>1133</v>
      </c>
      <c r="B25" s="459">
        <f>IF(Schachtanfrage!E40="",0,Schachtanfrage!E40)</f>
        <v>0</v>
      </c>
      <c r="D25" t="str">
        <f t="shared" si="1"/>
        <v>0000</v>
      </c>
      <c r="G25" t="e">
        <f t="shared" si="3"/>
        <v>#VALUE!</v>
      </c>
      <c r="H25" t="e">
        <f>H24-4</f>
        <v>#VALUE!</v>
      </c>
      <c r="I25" t="e">
        <f t="shared" si="4"/>
        <v>#VALUE!</v>
      </c>
    </row>
    <row r="26" spans="1:9" x14ac:dyDescent="0.25">
      <c r="G26" t="str">
        <f t="shared" si="3"/>
        <v/>
      </c>
    </row>
    <row r="27" spans="1:9" x14ac:dyDescent="0.25">
      <c r="A27" t="s">
        <v>1136</v>
      </c>
      <c r="G27" t="str">
        <f t="shared" si="3"/>
        <v/>
      </c>
    </row>
    <row r="28" spans="1:9" x14ac:dyDescent="0.25">
      <c r="A28" t="s">
        <v>1129</v>
      </c>
      <c r="B28" s="459">
        <f>IF(Schachtanfrage!E43="",0,Schachtanfrage!E43)</f>
        <v>0</v>
      </c>
      <c r="D28" t="str">
        <f t="shared" si="1"/>
        <v>0000</v>
      </c>
      <c r="G28" t="e">
        <f t="shared" si="3"/>
        <v>#VALUE!</v>
      </c>
      <c r="H28" t="e">
        <f>H25-4</f>
        <v>#VALUE!</v>
      </c>
      <c r="I28" t="e">
        <f t="shared" ref="I28:I30" si="5">RIGHT($E$2,H28)</f>
        <v>#VALUE!</v>
      </c>
    </row>
    <row r="29" spans="1:9" x14ac:dyDescent="0.25">
      <c r="A29" t="s">
        <v>1130</v>
      </c>
      <c r="B29" s="459">
        <f>IF(Schachtanfrage!E44="",0,Schachtanfrage!E44)</f>
        <v>0</v>
      </c>
      <c r="D29" t="str">
        <f t="shared" si="1"/>
        <v>0000</v>
      </c>
      <c r="G29" t="e">
        <f t="shared" si="3"/>
        <v>#VALUE!</v>
      </c>
      <c r="H29" t="e">
        <f>H28-4</f>
        <v>#VALUE!</v>
      </c>
      <c r="I29" t="e">
        <f t="shared" si="5"/>
        <v>#VALUE!</v>
      </c>
    </row>
    <row r="30" spans="1:9" x14ac:dyDescent="0.25">
      <c r="A30" s="17" t="s">
        <v>1133</v>
      </c>
      <c r="B30" s="459">
        <f>IF(Schachtanfrage!E45="",0,Schachtanfrage!E45)</f>
        <v>0</v>
      </c>
      <c r="D30" t="str">
        <f t="shared" si="1"/>
        <v>0000</v>
      </c>
      <c r="G30" t="e">
        <f t="shared" si="3"/>
        <v>#VALUE!</v>
      </c>
      <c r="H30" t="e">
        <f>H29-4</f>
        <v>#VALUE!</v>
      </c>
      <c r="I30" t="e">
        <f t="shared" si="5"/>
        <v>#VALUE!</v>
      </c>
    </row>
    <row r="31" spans="1:9" x14ac:dyDescent="0.25">
      <c r="G31" t="str">
        <f t="shared" si="3"/>
        <v/>
      </c>
    </row>
    <row r="32" spans="1:9" x14ac:dyDescent="0.25">
      <c r="A32" t="s">
        <v>1137</v>
      </c>
      <c r="G32" t="str">
        <f t="shared" si="3"/>
        <v/>
      </c>
    </row>
    <row r="33" spans="1:9" x14ac:dyDescent="0.25">
      <c r="A33" t="s">
        <v>1129</v>
      </c>
      <c r="B33" s="459">
        <f>IF(Schachtanfrage!$K$28="",0,Schachtanfrage!$K$28)</f>
        <v>0</v>
      </c>
      <c r="D33" t="str">
        <f t="shared" si="1"/>
        <v>0000</v>
      </c>
      <c r="G33" t="e">
        <f t="shared" si="3"/>
        <v>#VALUE!</v>
      </c>
      <c r="H33" t="e">
        <f>H30-4</f>
        <v>#VALUE!</v>
      </c>
      <c r="I33" t="e">
        <f t="shared" ref="I33:I35" si="6">RIGHT($E$2,H33)</f>
        <v>#VALUE!</v>
      </c>
    </row>
    <row r="34" spans="1:9" x14ac:dyDescent="0.25">
      <c r="A34" t="s">
        <v>1130</v>
      </c>
      <c r="B34" s="459">
        <f>IF(Schachtanfrage!$K$29="",0,Schachtanfrage!$K$29)</f>
        <v>0</v>
      </c>
      <c r="D34" t="str">
        <f t="shared" si="1"/>
        <v>0000</v>
      </c>
      <c r="G34" t="e">
        <f t="shared" si="3"/>
        <v>#VALUE!</v>
      </c>
      <c r="H34" t="e">
        <f>H33-4</f>
        <v>#VALUE!</v>
      </c>
      <c r="I34" t="e">
        <f t="shared" si="6"/>
        <v>#VALUE!</v>
      </c>
    </row>
    <row r="35" spans="1:9" x14ac:dyDescent="0.25">
      <c r="A35" s="17" t="s">
        <v>1133</v>
      </c>
      <c r="B35" s="459">
        <f>IF(Schachtanfrage!$K$30="",0,Schachtanfrage!$K$30)</f>
        <v>0</v>
      </c>
      <c r="D35" t="str">
        <f t="shared" si="1"/>
        <v>0000</v>
      </c>
      <c r="G35" t="e">
        <f t="shared" si="3"/>
        <v>#VALUE!</v>
      </c>
      <c r="H35" t="e">
        <f>H34-4</f>
        <v>#VALUE!</v>
      </c>
      <c r="I35" t="e">
        <f t="shared" si="6"/>
        <v>#VALUE!</v>
      </c>
    </row>
    <row r="36" spans="1:9" x14ac:dyDescent="0.25">
      <c r="G36" t="str">
        <f t="shared" si="3"/>
        <v/>
      </c>
    </row>
    <row r="37" spans="1:9" x14ac:dyDescent="0.25">
      <c r="A37" t="s">
        <v>1138</v>
      </c>
      <c r="G37" t="str">
        <f t="shared" si="3"/>
        <v/>
      </c>
    </row>
    <row r="38" spans="1:9" x14ac:dyDescent="0.25">
      <c r="A38" t="s">
        <v>1129</v>
      </c>
      <c r="B38" s="459">
        <f>IF(Schachtanfrage!$K$33="",0,Schachtanfrage!$K$33)</f>
        <v>0</v>
      </c>
      <c r="D38" t="str">
        <f t="shared" si="1"/>
        <v>0000</v>
      </c>
      <c r="G38" t="e">
        <f t="shared" si="3"/>
        <v>#VALUE!</v>
      </c>
      <c r="H38" t="e">
        <f>H35-4</f>
        <v>#VALUE!</v>
      </c>
      <c r="I38" t="e">
        <f t="shared" ref="I38:I40" si="7">RIGHT($E$2,H38)</f>
        <v>#VALUE!</v>
      </c>
    </row>
    <row r="39" spans="1:9" x14ac:dyDescent="0.25">
      <c r="A39" t="s">
        <v>1130</v>
      </c>
      <c r="B39" s="459">
        <f>IF(Schachtanfrage!K34="",0,Schachtanfrage!K34)</f>
        <v>0</v>
      </c>
      <c r="D39" t="str">
        <f t="shared" si="1"/>
        <v>0000</v>
      </c>
      <c r="G39" t="e">
        <f t="shared" si="3"/>
        <v>#VALUE!</v>
      </c>
      <c r="H39" t="e">
        <f>H38-4</f>
        <v>#VALUE!</v>
      </c>
      <c r="I39" t="e">
        <f t="shared" si="7"/>
        <v>#VALUE!</v>
      </c>
    </row>
    <row r="40" spans="1:9" x14ac:dyDescent="0.25">
      <c r="A40" s="17" t="s">
        <v>1133</v>
      </c>
      <c r="B40" s="459">
        <f>IF(Schachtanfrage!$K$33="",0,Schachtanfrage!$K$33)</f>
        <v>0</v>
      </c>
      <c r="D40" t="str">
        <f t="shared" si="1"/>
        <v>0000</v>
      </c>
      <c r="G40" t="e">
        <f t="shared" ref="G40:G48" si="8">LEFT(I40,4)</f>
        <v>#VALUE!</v>
      </c>
      <c r="H40" t="e">
        <f>H39-4</f>
        <v>#VALUE!</v>
      </c>
      <c r="I40" t="e">
        <f t="shared" si="7"/>
        <v>#VALUE!</v>
      </c>
    </row>
    <row r="41" spans="1:9" x14ac:dyDescent="0.25">
      <c r="G41" t="str">
        <f t="shared" si="8"/>
        <v/>
      </c>
    </row>
    <row r="42" spans="1:9" x14ac:dyDescent="0.25">
      <c r="A42" t="s">
        <v>1139</v>
      </c>
      <c r="G42" t="str">
        <f t="shared" si="8"/>
        <v/>
      </c>
    </row>
    <row r="43" spans="1:9" x14ac:dyDescent="0.25">
      <c r="A43" t="s">
        <v>1129</v>
      </c>
      <c r="B43" s="459">
        <f>IF(Schachtanfrage!K38="",0,Schachtanfrage!K38)</f>
        <v>0</v>
      </c>
      <c r="D43" t="str">
        <f t="shared" si="1"/>
        <v>0000</v>
      </c>
      <c r="G43" t="e">
        <f>LEFT(I43,4)</f>
        <v>#VALUE!</v>
      </c>
      <c r="H43" t="e">
        <f>H40-4</f>
        <v>#VALUE!</v>
      </c>
      <c r="I43" t="e">
        <f t="shared" ref="I43:I44" si="9">RIGHT($E$2,H43)</f>
        <v>#VALUE!</v>
      </c>
    </row>
    <row r="44" spans="1:9" x14ac:dyDescent="0.25">
      <c r="A44" t="s">
        <v>1130</v>
      </c>
      <c r="B44" s="459">
        <f>IF(Schachtanfrage!K39="",0,Schachtanfrage!K39)</f>
        <v>0</v>
      </c>
      <c r="D44" t="str">
        <f>IF(AND(B44&gt;0,B44&lt;10),"000"&amp;B44,IF(AND(B44&gt;9,B44&lt;100),"00"&amp;B44,IF(AND(B44&gt;99,B44&lt;1000),"0"&amp;B44,IF(B44&gt;999,B44,IF(B44="","0000",IF(B44=0,"0000",""))))))</f>
        <v>0000</v>
      </c>
      <c r="G44" t="e">
        <f>LEFT(I44,4)</f>
        <v>#VALUE!</v>
      </c>
      <c r="H44" t="e">
        <f>H43-4</f>
        <v>#VALUE!</v>
      </c>
      <c r="I44" t="e">
        <f t="shared" si="9"/>
        <v>#VALUE!</v>
      </c>
    </row>
    <row r="45" spans="1:9" x14ac:dyDescent="0.25">
      <c r="A45" s="17" t="s">
        <v>1133</v>
      </c>
      <c r="B45" s="459">
        <f>IF(Schachtanfrage!K40="",0,Schachtanfrage!K40)</f>
        <v>0</v>
      </c>
      <c r="D45" t="str">
        <f t="shared" ref="D45:D52" si="10">IF(AND(B45&gt;0,B45&lt;10),"000"&amp;B45,IF(AND(B45&gt;9,B45&lt;100),"00"&amp;B45,IF(AND(B45&gt;99,B45&lt;1000),"0"&amp;B45,IF(B45&gt;999,B45,IF(B45="","0000",IF(B45=0,"0000",""))))))</f>
        <v>0000</v>
      </c>
      <c r="G45" t="e">
        <f t="shared" si="8"/>
        <v>#VALUE!</v>
      </c>
      <c r="H45" t="e">
        <f>H44-4</f>
        <v>#VALUE!</v>
      </c>
      <c r="I45" t="e">
        <f>RIGHT($E$2,H45)</f>
        <v>#VALUE!</v>
      </c>
    </row>
    <row r="46" spans="1:9" x14ac:dyDescent="0.25">
      <c r="G46" t="str">
        <f t="shared" si="8"/>
        <v/>
      </c>
    </row>
    <row r="47" spans="1:9" x14ac:dyDescent="0.25">
      <c r="A47" t="s">
        <v>1140</v>
      </c>
      <c r="G47" t="str">
        <f t="shared" si="8"/>
        <v/>
      </c>
    </row>
    <row r="48" spans="1:9" x14ac:dyDescent="0.25">
      <c r="A48" t="s">
        <v>1129</v>
      </c>
      <c r="B48" s="459">
        <f>IF(Schachtanfrage!K43="",0,Schachtanfrage!K43)</f>
        <v>0</v>
      </c>
      <c r="D48" t="str">
        <f t="shared" si="10"/>
        <v>0000</v>
      </c>
      <c r="G48" t="e">
        <f t="shared" si="8"/>
        <v>#VALUE!</v>
      </c>
      <c r="H48" t="e">
        <f>H45-4</f>
        <v>#VALUE!</v>
      </c>
      <c r="I48" t="e">
        <f t="shared" ref="I48:I50" si="11">RIGHT($E$2,H48)</f>
        <v>#VALUE!</v>
      </c>
    </row>
    <row r="49" spans="1:9" x14ac:dyDescent="0.25">
      <c r="A49" t="s">
        <v>1130</v>
      </c>
      <c r="B49" s="459">
        <f>IF(Schachtanfrage!K44="",0,Schachtanfrage!K44)</f>
        <v>0</v>
      </c>
      <c r="D49" t="str">
        <f t="shared" si="10"/>
        <v>0000</v>
      </c>
      <c r="G49" t="e">
        <f>LEFT(I49,4)</f>
        <v>#VALUE!</v>
      </c>
      <c r="H49" t="e">
        <f>H48-4</f>
        <v>#VALUE!</v>
      </c>
      <c r="I49" t="e">
        <f t="shared" si="11"/>
        <v>#VALUE!</v>
      </c>
    </row>
    <row r="50" spans="1:9" x14ac:dyDescent="0.25">
      <c r="A50" s="17" t="s">
        <v>1133</v>
      </c>
      <c r="B50" s="459">
        <f>IF(Schachtanfrage!K45="",0,Schachtanfrage!K45)</f>
        <v>0</v>
      </c>
      <c r="D50" t="str">
        <f t="shared" si="10"/>
        <v>0000</v>
      </c>
      <c r="G50" t="e">
        <f>LEFT(I50,4)</f>
        <v>#VALUE!</v>
      </c>
      <c r="H50" t="e">
        <f>H49-4</f>
        <v>#VALUE!</v>
      </c>
      <c r="I50" t="e">
        <f t="shared" si="11"/>
        <v>#VALUE!</v>
      </c>
    </row>
    <row r="52" spans="1:9" x14ac:dyDescent="0.25">
      <c r="A52" t="s">
        <v>1143</v>
      </c>
      <c r="B52" s="460" t="e">
        <f>IF(Tabelle3!$N$58="",0,Tabelle3!$N$58)</f>
        <v>#VALUE!</v>
      </c>
      <c r="D52" s="115" t="e">
        <f t="shared" si="10"/>
        <v>#VALUE!</v>
      </c>
      <c r="G52" t="e">
        <f>LEFT(I52,4)</f>
        <v>#VALUE!</v>
      </c>
      <c r="H52" t="e">
        <f>H50-4</f>
        <v>#VALUE!</v>
      </c>
      <c r="I52" t="e">
        <f>RIGHT($E$2,H52)</f>
        <v>#VALUE!</v>
      </c>
    </row>
    <row r="53" spans="1:9" x14ac:dyDescent="0.25">
      <c r="A53" t="s">
        <v>1148</v>
      </c>
      <c r="B53" s="460">
        <f>B63</f>
        <v>0</v>
      </c>
      <c r="D53" s="115" t="str">
        <f>IF(AND(B53&gt;0,B53&lt;10),"000"&amp;B53,IF(AND(B53&gt;9,B53&lt;100),"00"&amp;B53,IF(AND(B53&gt;99,B53&lt;1000),"0"&amp;B53,IF(B53&gt;999,B53,IF(B53="","0000",IF(B53=0,"0000",""))))))</f>
        <v>0000</v>
      </c>
      <c r="G53" t="e">
        <f t="shared" ref="G53:G55" si="12">LEFT(I53,4)</f>
        <v>#VALUE!</v>
      </c>
      <c r="H53" t="e">
        <f>H52-4</f>
        <v>#VALUE!</v>
      </c>
      <c r="I53" t="e">
        <f>RIGHT($E$2,H53)</f>
        <v>#VALUE!</v>
      </c>
    </row>
    <row r="54" spans="1:9" x14ac:dyDescent="0.25">
      <c r="A54" t="s">
        <v>1149</v>
      </c>
      <c r="B54" s="461">
        <f>C64</f>
        <v>0</v>
      </c>
      <c r="D54" s="115" t="str">
        <f>IF(AND(B54&gt;0,B54&lt;10),"000"&amp;B54,IF(AND(B54&gt;9,B54&lt;100),"00"&amp;B54,IF(AND(B54&gt;99,B54&lt;1000),"0"&amp;B54,IF(B54&gt;999,B54,IF(B54="","0000",IF(B54=0,"0000",""))))))</f>
        <v>0000</v>
      </c>
      <c r="G54" t="e">
        <f t="shared" si="12"/>
        <v>#VALUE!</v>
      </c>
      <c r="H54" t="e">
        <f>H53-4</f>
        <v>#VALUE!</v>
      </c>
      <c r="I54" t="e">
        <f>RIGHT($E$2,H54)</f>
        <v>#VALUE!</v>
      </c>
    </row>
    <row r="55" spans="1:9" x14ac:dyDescent="0.25">
      <c r="B55">
        <f>B57</f>
        <v>2</v>
      </c>
      <c r="D55" s="115" t="str">
        <f>IF(AND(B55&gt;0,B55&lt;10),"000"&amp;B55,IF(AND(B55&gt;9,B55&lt;100),"00"&amp;B55,IF(AND(B55&gt;99,B55&lt;1000),"0"&amp;B55,IF(B55&gt;999,B55,IF(B55="","0000",IF(B55=0,"0000",""))))))</f>
        <v>0002</v>
      </c>
      <c r="G55" t="e">
        <f t="shared" si="12"/>
        <v>#VALUE!</v>
      </c>
      <c r="H55" t="e">
        <f>H54-4</f>
        <v>#VALUE!</v>
      </c>
      <c r="I55" t="e">
        <f>RIGHT($E$2,H55)</f>
        <v>#VALUE!</v>
      </c>
    </row>
    <row r="56" spans="1:9" x14ac:dyDescent="0.25">
      <c r="D56" s="115"/>
    </row>
    <row r="57" spans="1:9" x14ac:dyDescent="0.25">
      <c r="B57">
        <f>IF(Schachtselector!E182&lt;-0.00000001,1,2)</f>
        <v>2</v>
      </c>
      <c r="C57" t="s">
        <v>1144</v>
      </c>
    </row>
    <row r="58" spans="1:9" x14ac:dyDescent="0.25">
      <c r="C58" t="s">
        <v>1145</v>
      </c>
    </row>
    <row r="61" spans="1:9" x14ac:dyDescent="0.25">
      <c r="A61" t="s">
        <v>934</v>
      </c>
      <c r="B61">
        <f>Schachtselector!E182</f>
        <v>0</v>
      </c>
    </row>
    <row r="63" spans="1:9" x14ac:dyDescent="0.25">
      <c r="A63" t="s">
        <v>1146</v>
      </c>
      <c r="B63">
        <f>ROUNDDOWN(B61,0)</f>
        <v>0</v>
      </c>
    </row>
    <row r="64" spans="1:9" x14ac:dyDescent="0.25">
      <c r="A64" t="s">
        <v>1147</v>
      </c>
      <c r="B64">
        <f>B61-B63</f>
        <v>0</v>
      </c>
      <c r="C64">
        <f>B64*10000</f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70"/>
  <sheetViews>
    <sheetView topLeftCell="A34" zoomScale="85" zoomScaleNormal="85" workbookViewId="0">
      <selection activeCell="B39" sqref="B39"/>
    </sheetView>
  </sheetViews>
  <sheetFormatPr baseColWidth="10" defaultRowHeight="15" x14ac:dyDescent="0.25"/>
  <cols>
    <col min="1" max="1" width="16.7109375" customWidth="1"/>
    <col min="2" max="3" width="16.28515625" bestFit="1" customWidth="1"/>
    <col min="4" max="4" width="13.140625" customWidth="1"/>
    <col min="5" max="5" width="15.7109375" customWidth="1"/>
    <col min="6" max="7" width="15" customWidth="1"/>
    <col min="9" max="9" width="12.5703125" bestFit="1" customWidth="1"/>
    <col min="13" max="13" width="12.28515625" customWidth="1"/>
    <col min="39" max="39" width="6.5703125" style="388" bestFit="1" customWidth="1"/>
    <col min="40" max="40" width="7.28515625" bestFit="1" customWidth="1"/>
    <col min="41" max="42" width="6" customWidth="1"/>
    <col min="43" max="43" width="6" style="475" customWidth="1"/>
    <col min="44" max="44" width="6.5703125" customWidth="1"/>
    <col min="45" max="45" width="5.7109375" customWidth="1"/>
    <col min="46" max="46" width="7.28515625" bestFit="1" customWidth="1"/>
    <col min="49" max="49" width="14.5703125" customWidth="1"/>
    <col min="50" max="50" width="13.28515625" customWidth="1"/>
  </cols>
  <sheetData>
    <row r="1" spans="2:58" x14ac:dyDescent="0.25">
      <c r="E1" t="s">
        <v>1647</v>
      </c>
      <c r="BC1" t="s">
        <v>1631</v>
      </c>
    </row>
    <row r="2" spans="2:58" x14ac:dyDescent="0.25">
      <c r="B2" t="s">
        <v>1645</v>
      </c>
      <c r="C2" t="b">
        <f>Tabelle2!$Q$91</f>
        <v>0</v>
      </c>
      <c r="E2" t="s">
        <v>1648</v>
      </c>
      <c r="F2">
        <v>350</v>
      </c>
      <c r="BB2" t="b">
        <f>IF(AND(BB3=FALSE,BB4=FALSE,BB5=FALSE,BB6=FALSE),TRUE,FALSE)</f>
        <v>1</v>
      </c>
      <c r="BC2" t="s">
        <v>1632</v>
      </c>
      <c r="BE2">
        <v>45</v>
      </c>
      <c r="BF2">
        <v>315</v>
      </c>
    </row>
    <row r="3" spans="2:58" x14ac:dyDescent="0.25">
      <c r="B3" t="s">
        <v>1646</v>
      </c>
      <c r="C3" t="b">
        <f>IF(OR(Tabelle3!C8=TRUE,Tabelle3!C9=TRUE),TRUE,FALSE)</f>
        <v>1</v>
      </c>
      <c r="E3" t="s">
        <v>293</v>
      </c>
      <c r="F3">
        <v>375</v>
      </c>
      <c r="BB3" t="b">
        <f>IF(AND(Tabelle3!C13=TRUE,Tabelle2!Q90=TRUE),TRUE,FALSE)</f>
        <v>0</v>
      </c>
      <c r="BC3" t="s">
        <v>1633</v>
      </c>
      <c r="BE3">
        <v>35</v>
      </c>
      <c r="BF3">
        <v>325</v>
      </c>
    </row>
    <row r="4" spans="2:58" x14ac:dyDescent="0.25">
      <c r="B4">
        <v>800</v>
      </c>
      <c r="C4" t="b">
        <f>IF(Tabelle3!BH59&gt;0,TRUE,FALSE)</f>
        <v>0</v>
      </c>
      <c r="E4" t="s">
        <v>294</v>
      </c>
      <c r="F4">
        <v>450</v>
      </c>
      <c r="BB4" t="b">
        <f>IF(AND(Tabelle3!C12=TRUE,Tabelle2!Q91=TRUE),TRUE,FALSE)</f>
        <v>0</v>
      </c>
      <c r="BC4" t="s">
        <v>1634</v>
      </c>
      <c r="BE4">
        <v>70</v>
      </c>
      <c r="BF4">
        <v>290</v>
      </c>
    </row>
    <row r="5" spans="2:58" x14ac:dyDescent="0.25">
      <c r="BB5" t="b">
        <f>IF(AND(Tabelle3!C14=TRUE,Tabelle2!Q91=TRUE),TRUE,FALSE)</f>
        <v>0</v>
      </c>
      <c r="BC5" t="s">
        <v>1635</v>
      </c>
      <c r="BE5">
        <v>60</v>
      </c>
      <c r="BF5">
        <v>300</v>
      </c>
    </row>
    <row r="6" spans="2:58" x14ac:dyDescent="0.25">
      <c r="D6" t="s">
        <v>1659</v>
      </c>
      <c r="E6" t="s">
        <v>1131</v>
      </c>
      <c r="F6" t="s">
        <v>1660</v>
      </c>
      <c r="G6" t="s">
        <v>1664</v>
      </c>
      <c r="J6" t="s">
        <v>1662</v>
      </c>
      <c r="M6" t="s">
        <v>1663</v>
      </c>
      <c r="Q6" t="s">
        <v>1625</v>
      </c>
      <c r="S6" t="s">
        <v>1623</v>
      </c>
      <c r="V6" t="s">
        <v>1624</v>
      </c>
      <c r="X6" t="s">
        <v>1623</v>
      </c>
      <c r="AB6" t="s">
        <v>1626</v>
      </c>
      <c r="AE6" t="s">
        <v>1627</v>
      </c>
      <c r="AH6" t="s">
        <v>1628</v>
      </c>
      <c r="AO6" s="476" t="s">
        <v>1637</v>
      </c>
      <c r="AP6" s="476"/>
      <c r="AQ6" s="477" t="s">
        <v>1638</v>
      </c>
      <c r="AR6" s="137" t="s">
        <v>1639</v>
      </c>
      <c r="AS6" s="137"/>
      <c r="AW6" t="s">
        <v>1050</v>
      </c>
      <c r="BB6" t="b">
        <f>IF(AND(Tabelle3!C14=TRUE,Tabelle2!Q90=TRUE),TRUE,FALSE)</f>
        <v>0</v>
      </c>
      <c r="BC6" t="s">
        <v>1636</v>
      </c>
      <c r="BE6">
        <v>30</v>
      </c>
      <c r="BF6">
        <v>330</v>
      </c>
    </row>
    <row r="7" spans="2:58" ht="15.75" thickBot="1" x14ac:dyDescent="0.3">
      <c r="B7" t="b">
        <f>Tabelle3!C7</f>
        <v>0</v>
      </c>
      <c r="C7" t="str">
        <f>Tabelle3!B7</f>
        <v>FPS 600</v>
      </c>
      <c r="D7">
        <v>0</v>
      </c>
      <c r="E7">
        <f>IF(B7=TRUE,591.4,0)</f>
        <v>0</v>
      </c>
      <c r="F7">
        <v>0</v>
      </c>
      <c r="G7">
        <f>IF(B7=TRUE,30,0)</f>
        <v>0</v>
      </c>
      <c r="H7" t="s">
        <v>1621</v>
      </c>
      <c r="Q7" t="s">
        <v>1622</v>
      </c>
      <c r="S7" t="s">
        <v>209</v>
      </c>
      <c r="T7">
        <f>F16</f>
        <v>-148</v>
      </c>
      <c r="V7" t="s">
        <v>1622</v>
      </c>
      <c r="X7" t="s">
        <v>209</v>
      </c>
      <c r="Y7">
        <f>F16</f>
        <v>-148</v>
      </c>
      <c r="AB7" t="s">
        <v>1622</v>
      </c>
      <c r="AE7" t="s">
        <v>1622</v>
      </c>
      <c r="AI7" t="s">
        <v>1630</v>
      </c>
      <c r="AK7" t="s">
        <v>209</v>
      </c>
      <c r="AL7" t="s">
        <v>206</v>
      </c>
      <c r="AM7" s="388" t="s">
        <v>1649</v>
      </c>
      <c r="AN7" t="s">
        <v>1630</v>
      </c>
      <c r="AO7" s="476" t="s">
        <v>133</v>
      </c>
      <c r="AP7" s="476" t="s">
        <v>134</v>
      </c>
      <c r="AQ7" s="477" t="s">
        <v>209</v>
      </c>
      <c r="AR7" s="137" t="s">
        <v>209</v>
      </c>
      <c r="AS7" s="137" t="s">
        <v>134</v>
      </c>
      <c r="AW7" t="s">
        <v>1622</v>
      </c>
      <c r="BB7" s="61" t="b">
        <v>1</v>
      </c>
      <c r="BC7" s="61"/>
      <c r="BD7" s="61"/>
      <c r="BE7" s="61">
        <f>VLOOKUP(BB7,BB2:BF6,4,0)</f>
        <v>45</v>
      </c>
      <c r="BF7" s="61">
        <f>VLOOKUP(BB7,BB2:BF6,5,0)</f>
        <v>315</v>
      </c>
    </row>
    <row r="8" spans="2:58" x14ac:dyDescent="0.25">
      <c r="B8" t="b">
        <f>Tabelle3!C8</f>
        <v>0</v>
      </c>
      <c r="C8" t="str">
        <f>Tabelle3!B8</f>
        <v xml:space="preserve"> FPS DN 800</v>
      </c>
      <c r="D8">
        <v>0</v>
      </c>
      <c r="E8">
        <f t="shared" ref="E8:E9" si="0">IF(B8=TRUE,600,0)</f>
        <v>0</v>
      </c>
      <c r="F8">
        <f>IF(B8=TRUE,C19,0)</f>
        <v>0</v>
      </c>
      <c r="G8">
        <f t="shared" ref="G8:G9" si="1">IF(B8=TRUE,75,0)</f>
        <v>0</v>
      </c>
      <c r="I8" t="s">
        <v>1641</v>
      </c>
      <c r="J8">
        <f>Kollision!C14</f>
        <v>500</v>
      </c>
      <c r="M8" t="s">
        <v>1641</v>
      </c>
      <c r="N8">
        <f>J8+G16</f>
        <v>575</v>
      </c>
      <c r="Q8">
        <f>E16/2</f>
        <v>300</v>
      </c>
      <c r="S8" t="s">
        <v>206</v>
      </c>
      <c r="T8">
        <f>D16</f>
        <v>0</v>
      </c>
      <c r="V8">
        <f>E16/2</f>
        <v>300</v>
      </c>
      <c r="X8" t="s">
        <v>206</v>
      </c>
      <c r="Y8">
        <f>(D16)*-1</f>
        <v>0</v>
      </c>
      <c r="AB8">
        <f>0.9*J8</f>
        <v>450</v>
      </c>
      <c r="AE8">
        <f>1.3*J8</f>
        <v>650</v>
      </c>
      <c r="AH8">
        <v>1</v>
      </c>
      <c r="AI8" s="137" t="str">
        <f>IF(Tabelle3!C7=TRUE,90,IF(Schachtanfrage!E28="","",Schachtanfrage!E28))</f>
        <v/>
      </c>
      <c r="AK8" t="str">
        <f>IF(AI8="","",VLOOKUP(AI8,$AA$10:$AC$370,2,0))</f>
        <v/>
      </c>
      <c r="AL8" t="e">
        <f>VLOOKUP(AI8,$AA$10:$AC$370,3,0)</f>
        <v>#N/A</v>
      </c>
      <c r="AM8" s="478">
        <f>IF(Tabelle3!AW4=TRUE,110/2,Schachtanfrage!E30/2)</f>
        <v>0</v>
      </c>
      <c r="AN8" s="8" t="e">
        <f>AI8-90</f>
        <v>#VALUE!</v>
      </c>
      <c r="AO8" s="8" t="e">
        <f>COS(RADIANS(AN8))*AM8</f>
        <v>#VALUE!</v>
      </c>
      <c r="AP8" s="8" t="e">
        <f>SIN(RADIANS(AN8))*AM8</f>
        <v>#VALUE!</v>
      </c>
      <c r="AQ8" s="479">
        <f>IF(AK8&lt;0,1,-1)</f>
        <v>-1</v>
      </c>
      <c r="AR8" s="8" t="str">
        <f>IF(AK8="","",AK8+$AO$8*AQ8)</f>
        <v/>
      </c>
      <c r="AS8" s="2" t="e">
        <f>AL8+$AP$8*AQ8</f>
        <v>#N/A</v>
      </c>
      <c r="AT8" s="12"/>
      <c r="AW8">
        <f>J8*1.4</f>
        <v>700</v>
      </c>
    </row>
    <row r="9" spans="2:58" x14ac:dyDescent="0.25">
      <c r="B9" t="b">
        <f>Tabelle3!C9</f>
        <v>1</v>
      </c>
      <c r="C9" t="str">
        <f>Tabelle3!B9</f>
        <v xml:space="preserve"> FPS DN 1000</v>
      </c>
      <c r="D9">
        <v>0</v>
      </c>
      <c r="E9">
        <f t="shared" si="0"/>
        <v>600</v>
      </c>
      <c r="F9">
        <f>IF(B9=TRUE,C19,0)</f>
        <v>-148</v>
      </c>
      <c r="G9">
        <f t="shared" si="1"/>
        <v>75</v>
      </c>
      <c r="J9" t="s">
        <v>209</v>
      </c>
      <c r="K9" t="s">
        <v>206</v>
      </c>
      <c r="N9" t="s">
        <v>209</v>
      </c>
      <c r="O9" t="s">
        <v>206</v>
      </c>
      <c r="Q9" t="s">
        <v>209</v>
      </c>
      <c r="R9" t="s">
        <v>206</v>
      </c>
      <c r="S9" t="s">
        <v>209</v>
      </c>
      <c r="T9" t="s">
        <v>206</v>
      </c>
      <c r="V9" t="s">
        <v>209</v>
      </c>
      <c r="W9" t="s">
        <v>206</v>
      </c>
      <c r="X9" t="s">
        <v>209</v>
      </c>
      <c r="Y9" t="s">
        <v>206</v>
      </c>
      <c r="AB9" t="s">
        <v>209</v>
      </c>
      <c r="AC9" t="s">
        <v>206</v>
      </c>
      <c r="AE9" t="s">
        <v>209</v>
      </c>
      <c r="AF9" t="s">
        <v>206</v>
      </c>
      <c r="AI9" s="137" t="str">
        <f>AI8</f>
        <v/>
      </c>
      <c r="AK9" t="str">
        <f>IF(AI9="","",VLOOKUP(AI9,$AD$10:$AF$370,2,0))</f>
        <v/>
      </c>
      <c r="AL9" t="e">
        <f>VLOOKUP(AI9,$AD$10:$AF$370,3,0)</f>
        <v>#N/A</v>
      </c>
      <c r="AM9" s="480"/>
      <c r="AN9" s="9"/>
      <c r="AO9" s="9"/>
      <c r="AP9" s="9"/>
      <c r="AQ9" s="84">
        <f>IF(AK8&lt;=0,1,-1)</f>
        <v>-1</v>
      </c>
      <c r="AR9" s="9" t="e">
        <f>AK9+$AO$8*AQ9</f>
        <v>#VALUE!</v>
      </c>
      <c r="AS9" s="4" t="e">
        <f>AL9+$AP$8*AQ9</f>
        <v>#N/A</v>
      </c>
      <c r="AT9" s="13"/>
      <c r="AW9" t="s">
        <v>209</v>
      </c>
      <c r="AX9" t="s">
        <v>206</v>
      </c>
    </row>
    <row r="10" spans="2:58" x14ac:dyDescent="0.25">
      <c r="B10" t="b">
        <f>Tabelle3!C10</f>
        <v>0</v>
      </c>
      <c r="C10" t="str">
        <f>Tabelle3!B10</f>
        <v>NSK DN 1250</v>
      </c>
      <c r="D10">
        <v>0</v>
      </c>
      <c r="E10">
        <f>IF(B10=TRUE,580,0)</f>
        <v>0</v>
      </c>
      <c r="F10">
        <v>0</v>
      </c>
      <c r="G10">
        <f>IF(B10=TRUE,100,0)</f>
        <v>0</v>
      </c>
      <c r="I10">
        <v>0</v>
      </c>
      <c r="J10">
        <f>J8</f>
        <v>500</v>
      </c>
      <c r="K10">
        <v>0</v>
      </c>
      <c r="M10">
        <v>0</v>
      </c>
      <c r="N10">
        <f>N8</f>
        <v>575</v>
      </c>
      <c r="O10">
        <v>0</v>
      </c>
      <c r="Q10">
        <v>0</v>
      </c>
      <c r="R10">
        <f>Q8</f>
        <v>300</v>
      </c>
      <c r="S10">
        <f>Q10+$T$7</f>
        <v>-148</v>
      </c>
      <c r="T10">
        <f t="shared" ref="T10:T41" si="2">R10+$T$8</f>
        <v>300</v>
      </c>
      <c r="V10">
        <v>0</v>
      </c>
      <c r="W10">
        <f>V8</f>
        <v>300</v>
      </c>
      <c r="X10">
        <f>V10+$Y$7</f>
        <v>-148</v>
      </c>
      <c r="Y10">
        <f>W10+$Y$8</f>
        <v>300</v>
      </c>
      <c r="AA10">
        <v>0</v>
      </c>
      <c r="AB10">
        <v>0</v>
      </c>
      <c r="AC10">
        <f>AB8</f>
        <v>450</v>
      </c>
      <c r="AD10">
        <v>0</v>
      </c>
      <c r="AE10">
        <v>0</v>
      </c>
      <c r="AF10">
        <f>AE8</f>
        <v>650</v>
      </c>
      <c r="AH10">
        <v>2</v>
      </c>
      <c r="AI10" s="137" t="str">
        <f>IF(Tabelle3!C7=TRUE,270,IF(Schachtanfrage!E33="","",Schachtanfrage!E33))</f>
        <v/>
      </c>
      <c r="AK10" t="str">
        <f>IF(AI10="","",VLOOKUP(AI10,$AA$10:$AC$370,2,0))</f>
        <v/>
      </c>
      <c r="AL10" t="e">
        <f t="shared" ref="AL10" si="3">VLOOKUP(AI10,$AA$10:$AC$370,3,0)</f>
        <v>#N/A</v>
      </c>
      <c r="AM10" s="480"/>
      <c r="AN10" s="9"/>
      <c r="AO10" s="9"/>
      <c r="AP10" s="9"/>
      <c r="AQ10" s="84">
        <f>IF(AK9&gt;0,1,-1)</f>
        <v>1</v>
      </c>
      <c r="AR10" s="9" t="e">
        <f>AK9+(AO8*AQ10)</f>
        <v>#VALUE!</v>
      </c>
      <c r="AS10" s="4" t="e">
        <f>AL9+(AP8*AQ10)</f>
        <v>#N/A</v>
      </c>
      <c r="AT10" s="13" t="str">
        <f>("E"&amp;AH8)</f>
        <v>E1</v>
      </c>
      <c r="AV10">
        <v>0</v>
      </c>
      <c r="AW10">
        <f>AW8</f>
        <v>700</v>
      </c>
      <c r="AX10">
        <v>0</v>
      </c>
    </row>
    <row r="11" spans="2:58" x14ac:dyDescent="0.25">
      <c r="B11" t="b">
        <f>Tabelle3!C11</f>
        <v>0</v>
      </c>
      <c r="C11" t="str">
        <f>Tabelle3!B11</f>
        <v>NSZ  DN 1250</v>
      </c>
      <c r="D11">
        <v>0</v>
      </c>
      <c r="E11">
        <f>IF(B26=TRUE,580,IF(C26=TRUE,800,0))</f>
        <v>0</v>
      </c>
      <c r="F11">
        <v>0</v>
      </c>
      <c r="G11">
        <f>IF(B11=TRUE,100,0)</f>
        <v>0</v>
      </c>
      <c r="I11">
        <v>1</v>
      </c>
      <c r="J11">
        <f>COS(I11*PI()/180)*$J$8</f>
        <v>499.92384757819565</v>
      </c>
      <c r="K11">
        <f>SIN(I11*PI()/180)*$J$8</f>
        <v>8.7262032186417553</v>
      </c>
      <c r="M11">
        <v>1</v>
      </c>
      <c r="N11">
        <f>COS(M11*PI()/180)*$N$8</f>
        <v>574.91242471492501</v>
      </c>
      <c r="O11">
        <f>SIN(M11*PI()/180)*$N$8</f>
        <v>10.035133701438019</v>
      </c>
      <c r="Q11">
        <f>SIN(I11*PI()/180)*$Q$8</f>
        <v>5.2357219311850534</v>
      </c>
      <c r="R11">
        <f>COS(I11*PI()/180)*$Q$8</f>
        <v>299.95430854691739</v>
      </c>
      <c r="S11">
        <f t="shared" ref="S11:S74" si="4">Q11+$T$7</f>
        <v>-142.76427806881495</v>
      </c>
      <c r="T11">
        <f t="shared" si="2"/>
        <v>299.95430854691739</v>
      </c>
      <c r="V11">
        <f>SIN(I11*PI()/180)*$V$8</f>
        <v>5.2357219311850534</v>
      </c>
      <c r="W11">
        <f>COS(I11*PI()/180)*$V$8</f>
        <v>299.95430854691739</v>
      </c>
      <c r="X11">
        <f>V11+$Y$7</f>
        <v>-142.76427806881495</v>
      </c>
      <c r="Y11">
        <f>W11+$Y$8</f>
        <v>299.95430854691739</v>
      </c>
      <c r="AA11">
        <v>1</v>
      </c>
      <c r="AB11">
        <f>COS(AA11*PI()/180)*$AB$8</f>
        <v>449.93146282037605</v>
      </c>
      <c r="AC11">
        <f>SIN(AA11*PI()/180)*$AB$8</f>
        <v>7.8535828967775805</v>
      </c>
      <c r="AD11">
        <v>1</v>
      </c>
      <c r="AE11">
        <f>COS(AD11*PI()/180)*$AE$8</f>
        <v>649.90100185165431</v>
      </c>
      <c r="AF11">
        <f>SIN(AD11*PI()/180)*$AE$8</f>
        <v>11.344064184234282</v>
      </c>
      <c r="AI11" s="137" t="str">
        <f t="shared" ref="AI11" si="5">AI10</f>
        <v/>
      </c>
      <c r="AK11" t="e">
        <f t="shared" ref="AK11" si="6">VLOOKUP(AI11,$AD$10:$AF$370,2,0)</f>
        <v>#N/A</v>
      </c>
      <c r="AL11" t="e">
        <f t="shared" ref="AL11" si="7">VLOOKUP(AI11,$AD$10:$AF$370,3,0)</f>
        <v>#N/A</v>
      </c>
      <c r="AM11" s="480"/>
      <c r="AN11" s="9"/>
      <c r="AO11" s="9"/>
      <c r="AP11" s="9"/>
      <c r="AQ11" s="84">
        <f>IF(AK8&gt;0,1,-1)</f>
        <v>1</v>
      </c>
      <c r="AR11" s="9" t="e">
        <f>AK8+(AO8*AQ11)</f>
        <v>#VALUE!</v>
      </c>
      <c r="AS11" s="4" t="e">
        <f>AL8+(AP8*AQ11)</f>
        <v>#N/A</v>
      </c>
      <c r="AT11" s="13"/>
      <c r="AV11">
        <v>1</v>
      </c>
      <c r="AW11">
        <f>COS(AV11*PI()/180)*$AW$8</f>
        <v>699.89338660947385</v>
      </c>
      <c r="AX11">
        <f>SIN(AV11*PI()/180)*$AW$8</f>
        <v>12.216684506098458</v>
      </c>
      <c r="AZ11">
        <f>IF(AV11&lt;$BE$7,AW11,VLOOKUP($BE$7,$AV$11:$AX$370,2,0))</f>
        <v>699.89338660947385</v>
      </c>
      <c r="BA11">
        <f>IF(AV11&lt;$BE$7,AX11,VLOOKUP($BE$7,$AV$11:$AX$370,3,0))</f>
        <v>12.216684506098458</v>
      </c>
    </row>
    <row r="12" spans="2:58" ht="15.75" thickBot="1" x14ac:dyDescent="0.3">
      <c r="B12" t="b">
        <f>Tabelle3!C12</f>
        <v>0</v>
      </c>
      <c r="C12" t="str">
        <f>Tabelle3!B12</f>
        <v>NSZD DN 1250</v>
      </c>
      <c r="D12">
        <f>IF(C2=TRUE,F2,0)</f>
        <v>0</v>
      </c>
      <c r="E12">
        <f>IF(B27=TRUE,580,IF(C27=TRUE,800,0))</f>
        <v>0</v>
      </c>
      <c r="G12">
        <f>IF(B12=TRUE,100,0)</f>
        <v>0</v>
      </c>
      <c r="I12">
        <v>2</v>
      </c>
      <c r="J12">
        <f t="shared" ref="J12:J75" si="8">COS(I12*PI()/180)*$J$8</f>
        <v>499.6954135095479</v>
      </c>
      <c r="K12">
        <f t="shared" ref="K12:K75" si="9">SIN(I12*PI()/180)*$J$8</f>
        <v>17.449748351250484</v>
      </c>
      <c r="M12">
        <v>2</v>
      </c>
      <c r="N12">
        <f t="shared" ref="N12:N75" si="10">COS(M12*PI()/180)*$N$8</f>
        <v>574.64972553598011</v>
      </c>
      <c r="O12">
        <f t="shared" ref="O12:O75" si="11">SIN(M12*PI()/180)*$N$8</f>
        <v>20.067210603938058</v>
      </c>
      <c r="Q12">
        <f t="shared" ref="Q12:Q75" si="12">SIN(I12*PI()/180)*$Q$8</f>
        <v>10.469849010750291</v>
      </c>
      <c r="R12">
        <f t="shared" ref="R12:R75" si="13">COS(I12*PI()/180)*$Q$8</f>
        <v>299.81724810572871</v>
      </c>
      <c r="S12">
        <f t="shared" si="4"/>
        <v>-137.53015098924971</v>
      </c>
      <c r="T12">
        <f t="shared" si="2"/>
        <v>299.81724810572871</v>
      </c>
      <c r="V12">
        <f t="shared" ref="V12:V75" si="14">SIN(I12*PI()/180)*$V$8</f>
        <v>10.469849010750291</v>
      </c>
      <c r="W12">
        <f t="shared" ref="W12:W75" si="15">COS(I12*PI()/180)*$V$8</f>
        <v>299.81724810572871</v>
      </c>
      <c r="X12">
        <f t="shared" ref="X12:X75" si="16">V12+$Y$7</f>
        <v>-137.53015098924971</v>
      </c>
      <c r="Y12">
        <f t="shared" ref="Y12:Y75" si="17">W12+$Y$8</f>
        <v>299.81724810572871</v>
      </c>
      <c r="AA12">
        <v>2</v>
      </c>
      <c r="AB12">
        <f t="shared" ref="AB12:AB75" si="18">COS(AA12*PI()/180)*$AB$8</f>
        <v>449.72587215859312</v>
      </c>
      <c r="AC12">
        <f t="shared" ref="AC12:AC75" si="19">SIN(AA12*PI()/180)*$AB$8</f>
        <v>15.704773516125437</v>
      </c>
      <c r="AD12">
        <v>2</v>
      </c>
      <c r="AE12">
        <f t="shared" ref="AE12:AE75" si="20">COS(AD12*PI()/180)*$AE$8</f>
        <v>649.60403756241226</v>
      </c>
      <c r="AF12">
        <f t="shared" ref="AF12:AF75" si="21">SIN(AD12*PI()/180)*$AE$8</f>
        <v>22.684672856625632</v>
      </c>
      <c r="AH12">
        <v>3</v>
      </c>
      <c r="AI12" s="137" t="str">
        <f>IF(Tabelle3!C7=TRUE,"",IF(Schachtanfrage!E38="","",Schachtanfrage!E38))</f>
        <v/>
      </c>
      <c r="AK12" t="e">
        <f t="shared" ref="AK12" si="22">VLOOKUP(AI12,$AA$10:$AC$370,2,0)</f>
        <v>#N/A</v>
      </c>
      <c r="AL12" t="e">
        <f t="shared" ref="AL12" si="23">VLOOKUP(AI12,$AA$10:$AC$370,3,0)</f>
        <v>#N/A</v>
      </c>
      <c r="AM12" s="481"/>
      <c r="AN12" s="10"/>
      <c r="AO12" s="10"/>
      <c r="AP12" s="10"/>
      <c r="AQ12" s="482"/>
      <c r="AR12" s="10" t="str">
        <f>AR8</f>
        <v/>
      </c>
      <c r="AS12" s="6" t="e">
        <f>AS8</f>
        <v>#N/A</v>
      </c>
      <c r="AT12" s="14"/>
      <c r="AV12">
        <v>2</v>
      </c>
      <c r="AW12">
        <f t="shared" ref="AW12:AW75" si="24">COS(AV12*PI()/180)*$AW$8</f>
        <v>699.57357891336699</v>
      </c>
      <c r="AX12">
        <f t="shared" ref="AX12:AX75" si="25">SIN(AV12*PI()/180)*$AW$8</f>
        <v>24.429647691750677</v>
      </c>
      <c r="AZ12">
        <f t="shared" ref="AZ12:AZ15" si="26">IF(AV12&lt;$BE$7,AW12,VLOOKUP($BE$7,$AV$11:$AX$370,2,0))</f>
        <v>699.57357891336699</v>
      </c>
      <c r="BA12">
        <f t="shared" ref="BA12:BA75" si="27">IF(AV12&lt;$BE$7,AX12,VLOOKUP($BE$7,$AV$11:$AX$370,3,0))</f>
        <v>24.429647691750677</v>
      </c>
    </row>
    <row r="13" spans="2:58" x14ac:dyDescent="0.25">
      <c r="B13" t="b">
        <f>Tabelle3!C13</f>
        <v>0</v>
      </c>
      <c r="C13" t="str">
        <f>Tabelle3!B13</f>
        <v>PBS 1500</v>
      </c>
      <c r="D13">
        <f>IF(C2=TRUE,F3,0)</f>
        <v>0</v>
      </c>
      <c r="E13">
        <f>IF(B28=TRUE,600,IF(C28=TRUE,800,0))</f>
        <v>0</v>
      </c>
      <c r="G13">
        <f>IF(B13=TRUE,50,0)</f>
        <v>0</v>
      </c>
      <c r="I13">
        <v>3</v>
      </c>
      <c r="J13">
        <f t="shared" si="8"/>
        <v>499.3147673772869</v>
      </c>
      <c r="K13">
        <f t="shared" si="9"/>
        <v>26.167978121471915</v>
      </c>
      <c r="M13">
        <v>3</v>
      </c>
      <c r="N13">
        <f t="shared" si="10"/>
        <v>574.21198248387998</v>
      </c>
      <c r="O13">
        <f t="shared" si="11"/>
        <v>30.093174839692701</v>
      </c>
      <c r="Q13">
        <f t="shared" si="12"/>
        <v>15.700786872883148</v>
      </c>
      <c r="R13">
        <f t="shared" si="13"/>
        <v>299.58886042637215</v>
      </c>
      <c r="S13">
        <f t="shared" si="4"/>
        <v>-132.29921312711684</v>
      </c>
      <c r="T13">
        <f t="shared" si="2"/>
        <v>299.58886042637215</v>
      </c>
      <c r="V13">
        <f t="shared" si="14"/>
        <v>15.700786872883148</v>
      </c>
      <c r="W13">
        <f t="shared" si="15"/>
        <v>299.58886042637215</v>
      </c>
      <c r="X13">
        <f t="shared" si="16"/>
        <v>-132.29921312711684</v>
      </c>
      <c r="Y13">
        <f t="shared" si="17"/>
        <v>299.58886042637215</v>
      </c>
      <c r="AA13">
        <v>3</v>
      </c>
      <c r="AB13">
        <f t="shared" si="18"/>
        <v>449.3832906395582</v>
      </c>
      <c r="AC13">
        <f t="shared" si="19"/>
        <v>23.551180309324721</v>
      </c>
      <c r="AD13">
        <v>3</v>
      </c>
      <c r="AE13">
        <f t="shared" si="20"/>
        <v>649.10919759047295</v>
      </c>
      <c r="AF13">
        <f t="shared" si="21"/>
        <v>34.01837155791349</v>
      </c>
      <c r="AI13" s="137" t="str">
        <f t="shared" ref="AI13" si="28">AI12</f>
        <v/>
      </c>
      <c r="AK13" t="e">
        <f t="shared" ref="AK13" si="29">VLOOKUP(AI13,$AD$10:$AF$370,2,0)</f>
        <v>#N/A</v>
      </c>
      <c r="AL13" t="e">
        <f t="shared" ref="AL13" si="30">VLOOKUP(AI13,$AD$10:$AF$370,3,0)</f>
        <v>#N/A</v>
      </c>
      <c r="AM13" s="478">
        <f>IF(Tabelle3!AW4=TRUE,110/2,Schachtanfrage!E35/2)</f>
        <v>0</v>
      </c>
      <c r="AN13" s="8" t="e">
        <f>AI10-90</f>
        <v>#VALUE!</v>
      </c>
      <c r="AO13" s="8" t="e">
        <f>COS(RADIANS(AN13))*AM13</f>
        <v>#VALUE!</v>
      </c>
      <c r="AP13" s="8" t="e">
        <f>SIN(RADIANS(AN13))*AM13</f>
        <v>#VALUE!</v>
      </c>
      <c r="AQ13" s="479">
        <f>IF(AK10&lt;0,1,-1)</f>
        <v>-1</v>
      </c>
      <c r="AR13" s="8" t="e">
        <f>AK10+$AO$13*AQ13</f>
        <v>#VALUE!</v>
      </c>
      <c r="AS13" s="2" t="e">
        <f>AL10+$AP$13*AQ13</f>
        <v>#N/A</v>
      </c>
      <c r="AT13" s="12"/>
      <c r="AV13">
        <v>3</v>
      </c>
      <c r="AW13">
        <f t="shared" si="24"/>
        <v>699.0406743282017</v>
      </c>
      <c r="AX13">
        <f t="shared" si="25"/>
        <v>36.63516937006068</v>
      </c>
      <c r="AZ13">
        <f t="shared" si="26"/>
        <v>699.0406743282017</v>
      </c>
      <c r="BA13">
        <f t="shared" si="27"/>
        <v>36.63516937006068</v>
      </c>
    </row>
    <row r="14" spans="2:58" x14ac:dyDescent="0.25">
      <c r="B14" t="b">
        <f>Tabelle3!C14</f>
        <v>0</v>
      </c>
      <c r="C14" t="str">
        <f>Tabelle3!B14</f>
        <v>PBS 2000</v>
      </c>
      <c r="D14">
        <f>IF(C2=TRUE,F4,0)</f>
        <v>0</v>
      </c>
      <c r="E14">
        <f>IF(B29=TRUE,600,IF(C29=TRUE,800,0))</f>
        <v>0</v>
      </c>
      <c r="G14">
        <f>IF(B14=TRUE,50,0)</f>
        <v>0</v>
      </c>
      <c r="I14">
        <v>4</v>
      </c>
      <c r="J14">
        <f t="shared" si="8"/>
        <v>498.78202512991209</v>
      </c>
      <c r="K14">
        <f t="shared" si="9"/>
        <v>34.878236872062651</v>
      </c>
      <c r="M14">
        <v>4</v>
      </c>
      <c r="N14">
        <f t="shared" si="10"/>
        <v>573.59932889939887</v>
      </c>
      <c r="O14">
        <f t="shared" si="11"/>
        <v>40.109972402872046</v>
      </c>
      <c r="Q14">
        <f t="shared" si="12"/>
        <v>20.926942123237591</v>
      </c>
      <c r="R14">
        <f t="shared" si="13"/>
        <v>299.26921507794725</v>
      </c>
      <c r="S14">
        <f t="shared" si="4"/>
        <v>-127.07305787676241</v>
      </c>
      <c r="T14">
        <f t="shared" si="2"/>
        <v>299.26921507794725</v>
      </c>
      <c r="V14">
        <f t="shared" si="14"/>
        <v>20.926942123237591</v>
      </c>
      <c r="W14">
        <f t="shared" si="15"/>
        <v>299.26921507794725</v>
      </c>
      <c r="X14">
        <f t="shared" si="16"/>
        <v>-127.07305787676241</v>
      </c>
      <c r="Y14">
        <f t="shared" si="17"/>
        <v>299.26921507794725</v>
      </c>
      <c r="AA14">
        <v>4</v>
      </c>
      <c r="AB14">
        <f t="shared" si="18"/>
        <v>448.90382261692088</v>
      </c>
      <c r="AC14">
        <f t="shared" si="19"/>
        <v>31.390413184856385</v>
      </c>
      <c r="AD14">
        <v>4</v>
      </c>
      <c r="AE14">
        <f t="shared" si="20"/>
        <v>648.41663266888577</v>
      </c>
      <c r="AF14">
        <f t="shared" si="21"/>
        <v>45.341707933681448</v>
      </c>
      <c r="AH14">
        <v>4</v>
      </c>
      <c r="AI14" s="137" t="str">
        <f>IF(Tabelle3!C7=TRUE,"",IF(Schachtanfrage!E43="","",Schachtanfrage!E43))</f>
        <v/>
      </c>
      <c r="AK14" t="e">
        <f t="shared" ref="AK14" si="31">VLOOKUP(AI14,$AA$10:$AC$370,2,0)</f>
        <v>#N/A</v>
      </c>
      <c r="AL14" t="e">
        <f t="shared" ref="AL14" si="32">VLOOKUP(AI14,$AA$10:$AC$370,3,0)</f>
        <v>#N/A</v>
      </c>
      <c r="AM14" s="480"/>
      <c r="AN14" s="9"/>
      <c r="AO14" s="9"/>
      <c r="AP14" s="9"/>
      <c r="AQ14" s="84">
        <f>IF(AK10&lt;=0,1,-1)</f>
        <v>-1</v>
      </c>
      <c r="AR14" s="9" t="e">
        <f>AK11+$AO$13*AQ14</f>
        <v>#N/A</v>
      </c>
      <c r="AS14" s="4" t="e">
        <f>AL11+$AP$13*AQ14</f>
        <v>#N/A</v>
      </c>
      <c r="AT14" s="13"/>
      <c r="AV14">
        <v>4</v>
      </c>
      <c r="AW14">
        <f t="shared" si="24"/>
        <v>698.29483518187692</v>
      </c>
      <c r="AX14">
        <f t="shared" si="25"/>
        <v>48.829531620887714</v>
      </c>
      <c r="AZ14">
        <f t="shared" si="26"/>
        <v>698.29483518187692</v>
      </c>
      <c r="BA14">
        <f t="shared" si="27"/>
        <v>48.829531620887714</v>
      </c>
    </row>
    <row r="15" spans="2:58" x14ac:dyDescent="0.25">
      <c r="I15">
        <v>5</v>
      </c>
      <c r="J15">
        <f t="shared" si="8"/>
        <v>498.09734904587276</v>
      </c>
      <c r="K15">
        <f t="shared" si="9"/>
        <v>43.577871373829083</v>
      </c>
      <c r="M15">
        <v>5</v>
      </c>
      <c r="N15">
        <f t="shared" si="10"/>
        <v>572.81195140275372</v>
      </c>
      <c r="O15">
        <f t="shared" si="11"/>
        <v>50.114552079903447</v>
      </c>
      <c r="Q15">
        <f t="shared" si="12"/>
        <v>26.146722824297449</v>
      </c>
      <c r="R15">
        <f t="shared" si="13"/>
        <v>298.85840942752367</v>
      </c>
      <c r="S15">
        <f t="shared" si="4"/>
        <v>-121.85327717570254</v>
      </c>
      <c r="T15">
        <f t="shared" si="2"/>
        <v>298.85840942752367</v>
      </c>
      <c r="V15">
        <f t="shared" si="14"/>
        <v>26.146722824297449</v>
      </c>
      <c r="W15">
        <f t="shared" si="15"/>
        <v>298.85840942752367</v>
      </c>
      <c r="X15">
        <f t="shared" si="16"/>
        <v>-121.85327717570254</v>
      </c>
      <c r="Y15">
        <f t="shared" si="17"/>
        <v>298.85840942752367</v>
      </c>
      <c r="AA15">
        <v>5</v>
      </c>
      <c r="AB15">
        <f t="shared" si="18"/>
        <v>448.28761414128547</v>
      </c>
      <c r="AC15">
        <f t="shared" si="19"/>
        <v>39.220084236446176</v>
      </c>
      <c r="AD15">
        <v>5</v>
      </c>
      <c r="AE15">
        <f t="shared" si="20"/>
        <v>647.52655375963457</v>
      </c>
      <c r="AF15">
        <f t="shared" si="21"/>
        <v>56.651232785977811</v>
      </c>
      <c r="AI15" s="137" t="str">
        <f t="shared" ref="AI15" si="33">AI14</f>
        <v/>
      </c>
      <c r="AK15" t="e">
        <f t="shared" ref="AK15" si="34">VLOOKUP(AI15,$AD$10:$AF$370,2,0)</f>
        <v>#N/A</v>
      </c>
      <c r="AL15" t="e">
        <f t="shared" ref="AL15" si="35">VLOOKUP(AI15,$AD$10:$AF$370,3,0)</f>
        <v>#N/A</v>
      </c>
      <c r="AM15" s="480"/>
      <c r="AN15" s="9"/>
      <c r="AO15" s="9"/>
      <c r="AP15" s="9"/>
      <c r="AQ15" s="84" t="e">
        <f>IF(AK11&gt;0,1,-1)</f>
        <v>#N/A</v>
      </c>
      <c r="AR15" s="9" t="e">
        <f>AK11+(AO13*AQ15)</f>
        <v>#N/A</v>
      </c>
      <c r="AS15" s="4" t="e">
        <f>AL11+(AP13*AQ15)</f>
        <v>#N/A</v>
      </c>
      <c r="AT15" s="13" t="str">
        <f>("E"&amp;AH10)</f>
        <v>E2</v>
      </c>
      <c r="AV15">
        <v>5</v>
      </c>
      <c r="AW15">
        <f t="shared" si="24"/>
        <v>697.33628866422191</v>
      </c>
      <c r="AX15">
        <f t="shared" si="25"/>
        <v>61.009019923360718</v>
      </c>
      <c r="AZ15">
        <f t="shared" si="26"/>
        <v>697.33628866422191</v>
      </c>
      <c r="BA15">
        <f t="shared" si="27"/>
        <v>61.009019923360718</v>
      </c>
    </row>
    <row r="16" spans="2:58" x14ac:dyDescent="0.25">
      <c r="B16" t="b">
        <v>1</v>
      </c>
      <c r="C16" t="str">
        <f>VLOOKUP(B16,B7:D14,2,0)</f>
        <v xml:space="preserve"> FPS DN 1000</v>
      </c>
      <c r="D16">
        <f>VLOOKUP(B16,B7:D14,3,0)</f>
        <v>0</v>
      </c>
      <c r="E16">
        <f>SUM(E7:E14)</f>
        <v>600</v>
      </c>
      <c r="F16">
        <f>SUM(F7:F14)</f>
        <v>-148</v>
      </c>
      <c r="G16">
        <f>SUM(G7:G14)</f>
        <v>75</v>
      </c>
      <c r="I16">
        <v>6</v>
      </c>
      <c r="J16">
        <f t="shared" si="8"/>
        <v>497.26094768413662</v>
      </c>
      <c r="K16">
        <f t="shared" si="9"/>
        <v>52.264231633826725</v>
      </c>
      <c r="M16">
        <v>6</v>
      </c>
      <c r="N16">
        <f t="shared" si="10"/>
        <v>571.85008983675709</v>
      </c>
      <c r="O16">
        <f t="shared" si="11"/>
        <v>60.10386637890074</v>
      </c>
      <c r="Q16">
        <f t="shared" si="12"/>
        <v>31.358538980296036</v>
      </c>
      <c r="R16">
        <f t="shared" si="13"/>
        <v>298.35656861048199</v>
      </c>
      <c r="S16">
        <f t="shared" si="4"/>
        <v>-116.64146101970397</v>
      </c>
      <c r="T16">
        <f t="shared" si="2"/>
        <v>298.35656861048199</v>
      </c>
      <c r="V16">
        <f t="shared" si="14"/>
        <v>31.358538980296036</v>
      </c>
      <c r="W16">
        <f t="shared" si="15"/>
        <v>298.35656861048199</v>
      </c>
      <c r="X16">
        <f t="shared" si="16"/>
        <v>-116.64146101970397</v>
      </c>
      <c r="Y16">
        <f t="shared" si="17"/>
        <v>298.35656861048199</v>
      </c>
      <c r="AA16">
        <v>6</v>
      </c>
      <c r="AB16">
        <f t="shared" si="18"/>
        <v>447.53485291572298</v>
      </c>
      <c r="AC16">
        <f t="shared" si="19"/>
        <v>47.037808470444055</v>
      </c>
      <c r="AD16">
        <v>6</v>
      </c>
      <c r="AE16">
        <f t="shared" si="20"/>
        <v>646.43923198937762</v>
      </c>
      <c r="AF16">
        <f t="shared" si="21"/>
        <v>67.943501123974741</v>
      </c>
      <c r="AH16">
        <v>5</v>
      </c>
      <c r="AI16" s="137" t="str">
        <f>IF(Tabelle3!C7=TRUE,"",IF(Schachtanfrage!K28="","",Schachtanfrage!K28))</f>
        <v/>
      </c>
      <c r="AK16" t="e">
        <f t="shared" ref="AK16" si="36">VLOOKUP(AI16,$AA$10:$AC$370,2,0)</f>
        <v>#N/A</v>
      </c>
      <c r="AL16" t="e">
        <f t="shared" ref="AL16" si="37">VLOOKUP(AI16,$AA$10:$AC$370,3,0)</f>
        <v>#N/A</v>
      </c>
      <c r="AM16" s="480"/>
      <c r="AN16" s="9"/>
      <c r="AO16" s="9"/>
      <c r="AP16" s="9"/>
      <c r="AQ16" s="84">
        <f>IF(AK10&gt;0,1,-1)</f>
        <v>1</v>
      </c>
      <c r="AR16" s="9" t="e">
        <f>AK10+(AO13*AQ16)</f>
        <v>#VALUE!</v>
      </c>
      <c r="AS16" s="4" t="e">
        <f>AL10+(AP13*AQ16)</f>
        <v>#N/A</v>
      </c>
      <c r="AT16" s="13"/>
      <c r="AV16">
        <v>6</v>
      </c>
      <c r="AW16">
        <f t="shared" si="24"/>
        <v>696.16532675779126</v>
      </c>
      <c r="AX16">
        <f t="shared" si="25"/>
        <v>73.169924287357418</v>
      </c>
      <c r="AZ16">
        <f>IF(AV16&lt;$BE$7,AW16,VLOOKUP($BE$7,$AV$11:$AX$370,2,0))</f>
        <v>696.16532675779126</v>
      </c>
      <c r="BA16">
        <f t="shared" si="27"/>
        <v>73.169924287357418</v>
      </c>
    </row>
    <row r="17" spans="1:53" ht="15.75" thickBot="1" x14ac:dyDescent="0.3">
      <c r="I17">
        <v>7</v>
      </c>
      <c r="J17">
        <f t="shared" si="8"/>
        <v>496.27307582066101</v>
      </c>
      <c r="K17">
        <f t="shared" si="9"/>
        <v>60.934671702573738</v>
      </c>
      <c r="M17">
        <v>7</v>
      </c>
      <c r="N17">
        <f t="shared" si="10"/>
        <v>570.71403719376019</v>
      </c>
      <c r="O17">
        <f t="shared" si="11"/>
        <v>70.074872457959799</v>
      </c>
      <c r="Q17">
        <f t="shared" si="12"/>
        <v>36.560803021544245</v>
      </c>
      <c r="R17">
        <f t="shared" si="13"/>
        <v>297.76384549239657</v>
      </c>
      <c r="S17">
        <f t="shared" si="4"/>
        <v>-111.43919697845575</v>
      </c>
      <c r="T17">
        <f t="shared" si="2"/>
        <v>297.76384549239657</v>
      </c>
      <c r="V17">
        <f t="shared" si="14"/>
        <v>36.560803021544245</v>
      </c>
      <c r="W17">
        <f t="shared" si="15"/>
        <v>297.76384549239657</v>
      </c>
      <c r="X17">
        <f t="shared" si="16"/>
        <v>-111.43919697845575</v>
      </c>
      <c r="Y17">
        <f t="shared" si="17"/>
        <v>297.76384549239657</v>
      </c>
      <c r="AA17">
        <v>7</v>
      </c>
      <c r="AB17">
        <f t="shared" si="18"/>
        <v>446.64576823859488</v>
      </c>
      <c r="AC17">
        <f t="shared" si="19"/>
        <v>54.841204532316361</v>
      </c>
      <c r="AD17">
        <v>7</v>
      </c>
      <c r="AE17">
        <f t="shared" si="20"/>
        <v>645.15499856685926</v>
      </c>
      <c r="AF17">
        <f t="shared" si="21"/>
        <v>79.21507321334586</v>
      </c>
      <c r="AI17" s="137" t="str">
        <f t="shared" ref="AI17" si="38">AI16</f>
        <v/>
      </c>
      <c r="AK17" t="e">
        <f t="shared" ref="AK17" si="39">VLOOKUP(AI17,$AD$10:$AF$370,2,0)</f>
        <v>#N/A</v>
      </c>
      <c r="AL17" t="e">
        <f t="shared" ref="AL17" si="40">VLOOKUP(AI17,$AD$10:$AF$370,3,0)</f>
        <v>#N/A</v>
      </c>
      <c r="AM17" s="481"/>
      <c r="AN17" s="10"/>
      <c r="AO17" s="10"/>
      <c r="AP17" s="10"/>
      <c r="AQ17" s="482"/>
      <c r="AR17" s="10" t="e">
        <f>AR13</f>
        <v>#VALUE!</v>
      </c>
      <c r="AS17" s="6" t="e">
        <f>AS13</f>
        <v>#N/A</v>
      </c>
      <c r="AT17" s="14"/>
      <c r="AV17">
        <v>7</v>
      </c>
      <c r="AW17">
        <f t="shared" si="24"/>
        <v>694.78230614892539</v>
      </c>
      <c r="AX17">
        <f t="shared" si="25"/>
        <v>85.30854038360323</v>
      </c>
      <c r="AZ17">
        <f t="shared" ref="AZ17:AZ80" si="41">IF(AV17&lt;$BE$7,AW17,VLOOKUP($BE$7,$AV$11:$AX$370,2,0))</f>
        <v>694.78230614892539</v>
      </c>
      <c r="BA17">
        <f t="shared" si="27"/>
        <v>85.30854038360323</v>
      </c>
    </row>
    <row r="18" spans="1:53" x14ac:dyDescent="0.25">
      <c r="C18" t="s">
        <v>1661</v>
      </c>
      <c r="I18">
        <v>8</v>
      </c>
      <c r="J18">
        <f t="shared" si="8"/>
        <v>495.13403437078517</v>
      </c>
      <c r="K18">
        <f t="shared" si="9"/>
        <v>69.586550480032713</v>
      </c>
      <c r="M18">
        <v>8</v>
      </c>
      <c r="N18">
        <f t="shared" si="10"/>
        <v>569.40413952640301</v>
      </c>
      <c r="O18">
        <f t="shared" si="11"/>
        <v>80.024533052037626</v>
      </c>
      <c r="Q18">
        <f t="shared" si="12"/>
        <v>41.751930288019629</v>
      </c>
      <c r="R18">
        <f t="shared" si="13"/>
        <v>297.08042062247108</v>
      </c>
      <c r="S18">
        <f t="shared" si="4"/>
        <v>-106.24806971198038</v>
      </c>
      <c r="T18">
        <f t="shared" si="2"/>
        <v>297.08042062247108</v>
      </c>
      <c r="V18">
        <f t="shared" si="14"/>
        <v>41.751930288019629</v>
      </c>
      <c r="W18">
        <f t="shared" si="15"/>
        <v>297.08042062247108</v>
      </c>
      <c r="X18">
        <f t="shared" si="16"/>
        <v>-106.24806971198038</v>
      </c>
      <c r="Y18">
        <f t="shared" si="17"/>
        <v>297.08042062247108</v>
      </c>
      <c r="AA18">
        <v>8</v>
      </c>
      <c r="AB18">
        <f t="shared" si="18"/>
        <v>445.62063093370665</v>
      </c>
      <c r="AC18">
        <f t="shared" si="19"/>
        <v>62.627895432029447</v>
      </c>
      <c r="AD18">
        <v>8</v>
      </c>
      <c r="AE18">
        <f t="shared" si="20"/>
        <v>643.67424468202069</v>
      </c>
      <c r="AF18">
        <f t="shared" si="21"/>
        <v>90.462515624042538</v>
      </c>
      <c r="AH18">
        <v>6</v>
      </c>
      <c r="AI18" s="137" t="str">
        <f>IF(Tabelle3!C7=TRUE,"",IF(Schachtanfrage!K33="","",Schachtanfrage!K33))</f>
        <v/>
      </c>
      <c r="AK18" t="e">
        <f t="shared" ref="AK18" si="42">VLOOKUP(AI18,$AA$10:$AC$370,2,0)</f>
        <v>#N/A</v>
      </c>
      <c r="AL18" t="e">
        <f t="shared" ref="AL18" si="43">VLOOKUP(AI18,$AA$10:$AC$370,3,0)</f>
        <v>#N/A</v>
      </c>
      <c r="AM18" s="478">
        <f>IF(Tabelle3!AW4=TRUE,"",Schachtanfrage!E40/2)</f>
        <v>0</v>
      </c>
      <c r="AN18" s="8" t="e">
        <f>AI12-90</f>
        <v>#VALUE!</v>
      </c>
      <c r="AO18" s="8" t="e">
        <f>COS(RADIANS(AN18))*AM18</f>
        <v>#VALUE!</v>
      </c>
      <c r="AP18" s="8" t="e">
        <f>SIN(RADIANS(AN18))*AM18</f>
        <v>#VALUE!</v>
      </c>
      <c r="AQ18" s="479" t="e">
        <f>IF(AK12&lt;0,1,-1)</f>
        <v>#N/A</v>
      </c>
      <c r="AR18" s="8" t="e">
        <f>AK12+AO18*AQ18</f>
        <v>#N/A</v>
      </c>
      <c r="AS18" s="2" t="e">
        <f>AL12+AP18*AQ18</f>
        <v>#N/A</v>
      </c>
      <c r="AT18" s="12"/>
      <c r="AV18">
        <v>8</v>
      </c>
      <c r="AW18">
        <f t="shared" si="24"/>
        <v>693.18764811909921</v>
      </c>
      <c r="AX18">
        <f t="shared" si="25"/>
        <v>97.421170672045804</v>
      </c>
      <c r="AZ18">
        <f t="shared" si="41"/>
        <v>693.18764811909921</v>
      </c>
      <c r="BA18">
        <f t="shared" si="27"/>
        <v>97.421170672045804</v>
      </c>
    </row>
    <row r="19" spans="1:53" x14ac:dyDescent="0.25">
      <c r="B19">
        <f>Tabelle3!$L$20</f>
        <v>-448</v>
      </c>
      <c r="C19">
        <f>B19+(E16/2)</f>
        <v>-148</v>
      </c>
      <c r="I19">
        <v>9</v>
      </c>
      <c r="J19">
        <f t="shared" si="8"/>
        <v>493.84417029756889</v>
      </c>
      <c r="K19">
        <f t="shared" si="9"/>
        <v>78.217232520115431</v>
      </c>
      <c r="M19">
        <v>9</v>
      </c>
      <c r="N19">
        <f t="shared" si="10"/>
        <v>567.92079584220426</v>
      </c>
      <c r="O19">
        <f t="shared" si="11"/>
        <v>89.949817398132751</v>
      </c>
      <c r="Q19">
        <f t="shared" si="12"/>
        <v>46.93033951206926</v>
      </c>
      <c r="R19">
        <f t="shared" si="13"/>
        <v>296.30650217854134</v>
      </c>
      <c r="S19">
        <f t="shared" si="4"/>
        <v>-101.06966048793075</v>
      </c>
      <c r="T19">
        <f t="shared" si="2"/>
        <v>296.30650217854134</v>
      </c>
      <c r="V19">
        <f t="shared" si="14"/>
        <v>46.93033951206926</v>
      </c>
      <c r="W19">
        <f t="shared" si="15"/>
        <v>296.30650217854134</v>
      </c>
      <c r="X19">
        <f t="shared" si="16"/>
        <v>-101.06966048793075</v>
      </c>
      <c r="Y19">
        <f t="shared" si="17"/>
        <v>296.30650217854134</v>
      </c>
      <c r="AA19">
        <v>9</v>
      </c>
      <c r="AB19">
        <f t="shared" si="18"/>
        <v>444.459753267812</v>
      </c>
      <c r="AC19">
        <f t="shared" si="19"/>
        <v>70.395509268103893</v>
      </c>
      <c r="AD19">
        <v>9</v>
      </c>
      <c r="AE19">
        <f t="shared" si="20"/>
        <v>641.99742138683951</v>
      </c>
      <c r="AF19">
        <f t="shared" si="21"/>
        <v>101.68240227615007</v>
      </c>
      <c r="AI19" s="137" t="str">
        <f t="shared" ref="AI19" si="44">AI18</f>
        <v/>
      </c>
      <c r="AK19" t="e">
        <f t="shared" ref="AK19" si="45">VLOOKUP(AI19,$AD$10:$AF$370,2,0)</f>
        <v>#N/A</v>
      </c>
      <c r="AL19" t="e">
        <f t="shared" ref="AL19" si="46">VLOOKUP(AI19,$AD$10:$AF$370,3,0)</f>
        <v>#N/A</v>
      </c>
      <c r="AM19" s="480"/>
      <c r="AN19" s="9"/>
      <c r="AO19" s="9"/>
      <c r="AP19" s="9"/>
      <c r="AQ19" s="84" t="e">
        <f>IF(AK12&lt;=0,1,-1)</f>
        <v>#N/A</v>
      </c>
      <c r="AR19" s="9" t="e">
        <f>AK13+AO18*AQ19</f>
        <v>#N/A</v>
      </c>
      <c r="AS19" s="4" t="e">
        <f>AL13+AP18*AQ19</f>
        <v>#N/A</v>
      </c>
      <c r="AT19" s="13"/>
      <c r="AV19">
        <v>9</v>
      </c>
      <c r="AW19">
        <f t="shared" si="24"/>
        <v>691.38183841659645</v>
      </c>
      <c r="AX19">
        <f t="shared" si="25"/>
        <v>109.50412552816161</v>
      </c>
      <c r="AZ19">
        <f t="shared" si="41"/>
        <v>691.38183841659645</v>
      </c>
      <c r="BA19">
        <f t="shared" si="27"/>
        <v>109.50412552816161</v>
      </c>
    </row>
    <row r="20" spans="1:53" x14ac:dyDescent="0.25">
      <c r="I20">
        <v>10</v>
      </c>
      <c r="J20">
        <f t="shared" si="8"/>
        <v>492.40387650610398</v>
      </c>
      <c r="K20">
        <f t="shared" si="9"/>
        <v>86.824088833465169</v>
      </c>
      <c r="M20">
        <v>10</v>
      </c>
      <c r="N20">
        <f t="shared" si="10"/>
        <v>566.26445798201962</v>
      </c>
      <c r="O20">
        <f t="shared" si="11"/>
        <v>99.847702158484935</v>
      </c>
      <c r="Q20">
        <f t="shared" si="12"/>
        <v>52.094453300079103</v>
      </c>
      <c r="R20">
        <f t="shared" si="13"/>
        <v>295.44232590366238</v>
      </c>
      <c r="S20">
        <f t="shared" si="4"/>
        <v>-95.905546699920905</v>
      </c>
      <c r="T20">
        <f t="shared" si="2"/>
        <v>295.44232590366238</v>
      </c>
      <c r="V20">
        <f t="shared" si="14"/>
        <v>52.094453300079103</v>
      </c>
      <c r="W20">
        <f t="shared" si="15"/>
        <v>295.44232590366238</v>
      </c>
      <c r="X20">
        <f t="shared" si="16"/>
        <v>-95.905546699920905</v>
      </c>
      <c r="Y20">
        <f t="shared" si="17"/>
        <v>295.44232590366238</v>
      </c>
      <c r="AA20">
        <v>10</v>
      </c>
      <c r="AB20">
        <f t="shared" si="18"/>
        <v>443.1634888554936</v>
      </c>
      <c r="AC20">
        <f t="shared" si="19"/>
        <v>78.141679950118643</v>
      </c>
      <c r="AD20">
        <v>10</v>
      </c>
      <c r="AE20">
        <f t="shared" si="20"/>
        <v>640.12503945793526</v>
      </c>
      <c r="AF20">
        <f t="shared" si="21"/>
        <v>112.87131548350472</v>
      </c>
      <c r="AH20">
        <v>7</v>
      </c>
      <c r="AI20" s="137" t="str">
        <f>IF(Tabelle3!C7=TRUE,"",IF(Schachtanfrage!K38="","",Schachtanfrage!K38))</f>
        <v/>
      </c>
      <c r="AK20" t="e">
        <f t="shared" ref="AK20" si="47">VLOOKUP(AI20,$AA$10:$AC$370,2,0)</f>
        <v>#N/A</v>
      </c>
      <c r="AL20" t="e">
        <f t="shared" ref="AL20" si="48">VLOOKUP(AI20,$AA$10:$AC$370,3,0)</f>
        <v>#N/A</v>
      </c>
      <c r="AM20" s="480"/>
      <c r="AN20" s="9"/>
      <c r="AO20" s="9"/>
      <c r="AP20" s="9"/>
      <c r="AQ20" s="84" t="e">
        <f>IF(AK13&gt;0,1,-1)</f>
        <v>#N/A</v>
      </c>
      <c r="AR20" s="9" t="e">
        <f>AK13+(AO18*AQ20)</f>
        <v>#N/A</v>
      </c>
      <c r="AS20" s="4" t="e">
        <f>AL13+(AP18*AQ20)</f>
        <v>#N/A</v>
      </c>
      <c r="AT20" s="13" t="str">
        <f>("E"&amp;AH12)</f>
        <v>E3</v>
      </c>
      <c r="AV20">
        <v>10</v>
      </c>
      <c r="AW20">
        <f t="shared" si="24"/>
        <v>689.36542710854565</v>
      </c>
      <c r="AX20">
        <f t="shared" si="25"/>
        <v>121.55372436685123</v>
      </c>
      <c r="AZ20">
        <f t="shared" si="41"/>
        <v>689.36542710854565</v>
      </c>
      <c r="BA20">
        <f t="shared" si="27"/>
        <v>121.55372436685123</v>
      </c>
    </row>
    <row r="21" spans="1:53" x14ac:dyDescent="0.25">
      <c r="I21">
        <v>11</v>
      </c>
      <c r="J21">
        <f t="shared" si="8"/>
        <v>490.81359172383196</v>
      </c>
      <c r="K21">
        <f t="shared" si="9"/>
        <v>95.4044976882724</v>
      </c>
      <c r="M21">
        <v>11</v>
      </c>
      <c r="N21">
        <f t="shared" si="10"/>
        <v>564.43563048240674</v>
      </c>
      <c r="O21">
        <f>SIN(M21*PI()/180)*$N$8</f>
        <v>109.71517234151327</v>
      </c>
      <c r="Q21">
        <f>SIN(I21*PI()/180)*$Q$8</f>
        <v>57.242698612963444</v>
      </c>
      <c r="R21">
        <f>COS(I21*PI()/180)*$Q$8</f>
        <v>294.48815503429921</v>
      </c>
      <c r="S21">
        <f>Q21+$T$7</f>
        <v>-90.757301387036563</v>
      </c>
      <c r="T21">
        <f>R21+$T$8</f>
        <v>294.48815503429921</v>
      </c>
      <c r="V21">
        <f>SIN(I21*PI()/180)*$V$8</f>
        <v>57.242698612963444</v>
      </c>
      <c r="W21">
        <f>COS(I21*PI()/180)*$V$8</f>
        <v>294.48815503429921</v>
      </c>
      <c r="X21">
        <f>V21+$Y$7</f>
        <v>-90.757301387036563</v>
      </c>
      <c r="Y21">
        <f>W21+$Y$8</f>
        <v>294.48815503429921</v>
      </c>
      <c r="AA21">
        <v>11</v>
      </c>
      <c r="AB21">
        <f>COS(AA21*PI()/180)*$AB$8</f>
        <v>441.73223255144882</v>
      </c>
      <c r="AC21">
        <f>SIN(AA21*PI()/180)*$AB$8</f>
        <v>85.864047919445156</v>
      </c>
      <c r="AD21">
        <v>11</v>
      </c>
      <c r="AE21">
        <f>COS(AD21*PI()/180)*$AE$8</f>
        <v>638.05766924098157</v>
      </c>
      <c r="AF21">
        <f>SIN(AD21*PI()/180)*$AE$8</f>
        <v>124.02584699475412</v>
      </c>
      <c r="AI21" s="137" t="str">
        <f>AI20</f>
        <v/>
      </c>
      <c r="AK21" t="e">
        <f>VLOOKUP(AI21,$AD$10:$AF$370,2,0)</f>
        <v>#N/A</v>
      </c>
      <c r="AL21" t="e">
        <f>VLOOKUP(AI21,$AD$10:$AF$370,3,0)</f>
        <v>#N/A</v>
      </c>
      <c r="AM21" s="480"/>
      <c r="AN21" s="9"/>
      <c r="AO21" s="9"/>
      <c r="AP21" s="9"/>
      <c r="AQ21" s="84" t="e">
        <f>IF(AK12&gt;0,1,-1)</f>
        <v>#N/A</v>
      </c>
      <c r="AR21" s="9" t="e">
        <f>AK12+(AO18*AQ21)</f>
        <v>#N/A</v>
      </c>
      <c r="AS21" s="4" t="e">
        <f>AL12+(AP18*AQ21)</f>
        <v>#N/A</v>
      </c>
      <c r="AT21" s="13"/>
      <c r="AV21">
        <v>11</v>
      </c>
      <c r="AW21">
        <f>COS(AV21*PI()/180)*$AW$8</f>
        <v>687.13902841336483</v>
      </c>
      <c r="AX21">
        <f>SIN(AV21*PI()/180)*$AW$8</f>
        <v>133.56629676358136</v>
      </c>
      <c r="AZ21">
        <f>IF(AV21&lt;$BE$7,AW21,VLOOKUP($BE$7,$AV$11:$AX$370,2,0))</f>
        <v>687.13902841336483</v>
      </c>
      <c r="BA21">
        <f>IF(AV21&lt;$BE$7,AX21,VLOOKUP($BE$7,$AV$11:$AX$370,3,0))</f>
        <v>133.56629676358136</v>
      </c>
    </row>
    <row r="22" spans="1:53" ht="15.75" thickBot="1" x14ac:dyDescent="0.3">
      <c r="I22">
        <v>12</v>
      </c>
      <c r="J22">
        <f t="shared" si="8"/>
        <v>489.07380036690284</v>
      </c>
      <c r="K22">
        <f t="shared" si="9"/>
        <v>103.95584540887965</v>
      </c>
      <c r="M22">
        <v>12</v>
      </c>
      <c r="N22">
        <f t="shared" si="10"/>
        <v>562.43487042193829</v>
      </c>
      <c r="O22">
        <f>SIN(M22*PI()/180)*$N$8</f>
        <v>119.5492222202116</v>
      </c>
      <c r="Q22">
        <f>SIN(I22*PI()/180)*$Q$8</f>
        <v>62.373507245327794</v>
      </c>
      <c r="R22">
        <f>COS(I22*PI()/180)*$Q$8</f>
        <v>293.44428022014171</v>
      </c>
      <c r="S22">
        <f>Q22+$T$7</f>
        <v>-85.626492754672199</v>
      </c>
      <c r="T22">
        <f>R22+$T$8</f>
        <v>293.44428022014171</v>
      </c>
      <c r="V22">
        <f>SIN(I22*PI()/180)*$V$8</f>
        <v>62.373507245327794</v>
      </c>
      <c r="W22">
        <f>COS(I22*PI()/180)*$V$8</f>
        <v>293.44428022014171</v>
      </c>
      <c r="X22">
        <f>V22+$Y$7</f>
        <v>-85.626492754672199</v>
      </c>
      <c r="Y22">
        <f>W22+$Y$8</f>
        <v>293.44428022014171</v>
      </c>
      <c r="AA22">
        <v>12</v>
      </c>
      <c r="AB22">
        <f>COS(AA22*PI()/180)*$AB$8</f>
        <v>440.16642033021253</v>
      </c>
      <c r="AC22">
        <f>SIN(AA22*PI()/180)*$AB$8</f>
        <v>93.560260867991687</v>
      </c>
      <c r="AD22">
        <v>12</v>
      </c>
      <c r="AE22">
        <f>COS(AD22*PI()/180)*$AE$8</f>
        <v>635.79594047697367</v>
      </c>
      <c r="AF22">
        <f>SIN(AD22*PI()/180)*$AE$8</f>
        <v>135.14259903154357</v>
      </c>
      <c r="AH22">
        <v>8</v>
      </c>
      <c r="AI22" s="137" t="str">
        <f>IF(Tabelle3!C7=TRUE,"",IF(Schachtanfrage!K43="","",Schachtanfrage!K43))</f>
        <v/>
      </c>
      <c r="AK22" t="e">
        <f>VLOOKUP(AI22,$AA$10:$AC$370,2,0)</f>
        <v>#N/A</v>
      </c>
      <c r="AL22" t="e">
        <f>VLOOKUP(AI22,$AA$10:$AC$370,3,0)</f>
        <v>#N/A</v>
      </c>
      <c r="AM22" s="481"/>
      <c r="AN22" s="10"/>
      <c r="AO22" s="10"/>
      <c r="AP22" s="10"/>
      <c r="AQ22" s="482"/>
      <c r="AR22" s="10" t="e">
        <f>AR18</f>
        <v>#N/A</v>
      </c>
      <c r="AS22" s="6" t="e">
        <f>AS18</f>
        <v>#N/A</v>
      </c>
      <c r="AT22" s="14"/>
      <c r="AV22">
        <v>12</v>
      </c>
      <c r="AW22">
        <f>COS(AV22*PI()/180)*$AW$8</f>
        <v>684.70332051366404</v>
      </c>
      <c r="AX22">
        <f>SIN(AV22*PI()/180)*$AW$8</f>
        <v>145.53818357243151</v>
      </c>
      <c r="AZ22">
        <f>IF(AV22&lt;$BE$7,AW22,VLOOKUP($BE$7,$AV$11:$AX$370,2,0))</f>
        <v>684.70332051366404</v>
      </c>
      <c r="BA22">
        <f>IF(AV22&lt;$BE$7,AX22,VLOOKUP($BE$7,$AV$11:$AX$370,3,0))</f>
        <v>145.53818357243151</v>
      </c>
    </row>
    <row r="23" spans="1:53" x14ac:dyDescent="0.25">
      <c r="I23">
        <v>13</v>
      </c>
      <c r="J23">
        <f t="shared" si="8"/>
        <v>487.18503239261764</v>
      </c>
      <c r="K23">
        <f t="shared" si="9"/>
        <v>112.4755271719325</v>
      </c>
      <c r="M23">
        <v>13</v>
      </c>
      <c r="N23">
        <f t="shared" si="10"/>
        <v>560.2627872515103</v>
      </c>
      <c r="O23">
        <f>SIN(M23*PI()/180)*$N$8</f>
        <v>129.34685624772237</v>
      </c>
      <c r="Q23">
        <f>SIN(I23*PI()/180)*$Q$8</f>
        <v>67.485316303159507</v>
      </c>
      <c r="R23">
        <f>COS(I23*PI()/180)*$Q$8</f>
        <v>292.31101943557059</v>
      </c>
      <c r="S23">
        <f>Q23+$T$7</f>
        <v>-80.514683696840493</v>
      </c>
      <c r="T23">
        <f>R23+$T$8</f>
        <v>292.31101943557059</v>
      </c>
      <c r="V23">
        <f>SIN(I23*PI()/180)*$V$8</f>
        <v>67.485316303159507</v>
      </c>
      <c r="W23">
        <f>COS(I23*PI()/180)*$V$8</f>
        <v>292.31101943557059</v>
      </c>
      <c r="X23">
        <f>V23+$Y$7</f>
        <v>-80.514683696840493</v>
      </c>
      <c r="Y23">
        <f>W23+$Y$8</f>
        <v>292.31101943557059</v>
      </c>
      <c r="AA23">
        <v>13</v>
      </c>
      <c r="AB23">
        <f>COS(AA23*PI()/180)*$AB$8</f>
        <v>438.46652915335585</v>
      </c>
      <c r="AC23">
        <f>SIN(AA23*PI()/180)*$AB$8</f>
        <v>101.22797445473925</v>
      </c>
      <c r="AD23">
        <v>13</v>
      </c>
      <c r="AE23">
        <f>COS(AD23*PI()/180)*$AE$8</f>
        <v>633.34054211040291</v>
      </c>
      <c r="AF23">
        <f>SIN(AD23*PI()/180)*$AE$8</f>
        <v>146.21818532351224</v>
      </c>
      <c r="AI23" s="137" t="str">
        <f>AI22</f>
        <v/>
      </c>
      <c r="AK23" t="e">
        <f>VLOOKUP(AI23,$AD$10:$AF$370,2,0)</f>
        <v>#N/A</v>
      </c>
      <c r="AL23" t="e">
        <f>VLOOKUP(AI23,$AD$10:$AF$370,3,0)</f>
        <v>#N/A</v>
      </c>
      <c r="AM23" s="478">
        <f>IF(Tabelle3!AW4=TRUE,"",Schachtanfrage!E45/2)</f>
        <v>0</v>
      </c>
      <c r="AN23" s="8" t="e">
        <f>AI14-90</f>
        <v>#VALUE!</v>
      </c>
      <c r="AO23" s="8" t="e">
        <f>COS(RADIANS(AN23))*AM23</f>
        <v>#VALUE!</v>
      </c>
      <c r="AP23" s="8" t="e">
        <f>SIN(RADIANS(AN23))*AM23</f>
        <v>#VALUE!</v>
      </c>
      <c r="AQ23" s="479" t="e">
        <f>IF(AK14&lt;0,1,-1)</f>
        <v>#N/A</v>
      </c>
      <c r="AR23" s="8" t="e">
        <f>AK14+AO23*AQ23</f>
        <v>#N/A</v>
      </c>
      <c r="AS23" s="2" t="e">
        <f>AL14+AP23*AQ23</f>
        <v>#N/A</v>
      </c>
      <c r="AT23" s="12"/>
      <c r="AV23">
        <v>13</v>
      </c>
      <c r="AW23">
        <f>COS(AV23*PI()/180)*$AW$8</f>
        <v>682.05904534966464</v>
      </c>
      <c r="AX23">
        <f>SIN(AV23*PI()/180)*$AW$8</f>
        <v>157.4657380407055</v>
      </c>
      <c r="AZ23">
        <f>IF(AV23&lt;$BE$7,AW23,VLOOKUP($BE$7,$AV$11:$AX$370,2,0))</f>
        <v>682.05904534966464</v>
      </c>
      <c r="BA23">
        <f>IF(AV23&lt;$BE$7,AX23,VLOOKUP($BE$7,$AV$11:$AX$370,3,0))</f>
        <v>157.4657380407055</v>
      </c>
    </row>
    <row r="24" spans="1:53" x14ac:dyDescent="0.25">
      <c r="I24">
        <v>14</v>
      </c>
      <c r="J24">
        <f t="shared" si="8"/>
        <v>485.14786313799823</v>
      </c>
      <c r="K24">
        <f t="shared" si="9"/>
        <v>120.96094779983386</v>
      </c>
      <c r="M24">
        <v>14</v>
      </c>
      <c r="N24">
        <f t="shared" si="10"/>
        <v>557.92004260869794</v>
      </c>
      <c r="O24">
        <f>SIN(M24*PI()/180)*$N$8</f>
        <v>139.10508996980894</v>
      </c>
      <c r="Q24">
        <f>SIN(I24*PI()/180)*$Q$8</f>
        <v>72.576568679900319</v>
      </c>
      <c r="R24">
        <f>COS(I24*PI()/180)*$Q$8</f>
        <v>291.08871788279896</v>
      </c>
      <c r="S24">
        <f>Q24+$T$7</f>
        <v>-75.423431320099681</v>
      </c>
      <c r="T24">
        <f>R24+$T$8</f>
        <v>291.08871788279896</v>
      </c>
      <c r="V24">
        <f>SIN(I24*PI()/180)*$V$8</f>
        <v>72.576568679900319</v>
      </c>
      <c r="W24">
        <f>COS(I24*PI()/180)*$V$8</f>
        <v>291.08871788279896</v>
      </c>
      <c r="X24">
        <f>V24+$Y$7</f>
        <v>-75.423431320099681</v>
      </c>
      <c r="Y24">
        <f>W24+$Y$8</f>
        <v>291.08871788279896</v>
      </c>
      <c r="AA24">
        <v>14</v>
      </c>
      <c r="AB24">
        <f>COS(AA24*PI()/180)*$AB$8</f>
        <v>436.63307682419844</v>
      </c>
      <c r="AC24">
        <f>SIN(AA24*PI()/180)*$AB$8</f>
        <v>108.86485301985047</v>
      </c>
      <c r="AD24">
        <v>14</v>
      </c>
      <c r="AE24">
        <f>COS(AD24*PI()/180)*$AE$8</f>
        <v>630.69222207939765</v>
      </c>
      <c r="AF24">
        <f>SIN(AD24*PI()/180)*$AE$8</f>
        <v>157.24923213978403</v>
      </c>
      <c r="AH24" t="s">
        <v>1629</v>
      </c>
      <c r="AI24" s="137" t="str">
        <f>IF(Tabelle3!C7=TRUE,315,IF(Schachtanfrage!E20="","",Schachtanfrage!E20))</f>
        <v/>
      </c>
      <c r="AK24" t="e">
        <f>VLOOKUP(AI24,$AA$10:$AC$370,2,0)</f>
        <v>#N/A</v>
      </c>
      <c r="AL24" t="e">
        <f>VLOOKUP(AI24,$AA$10:$AC$370,3,0)</f>
        <v>#N/A</v>
      </c>
      <c r="AM24" s="480"/>
      <c r="AN24" s="9"/>
      <c r="AO24" s="9"/>
      <c r="AP24" s="9"/>
      <c r="AQ24" s="84" t="e">
        <f>IF(AK14&lt;=0,1,-1)</f>
        <v>#N/A</v>
      </c>
      <c r="AR24" s="9" t="e">
        <f>AK15+AO23*AQ24</f>
        <v>#N/A</v>
      </c>
      <c r="AS24" s="4" t="e">
        <f>AL15+AP23*AQ24</f>
        <v>#N/A</v>
      </c>
      <c r="AT24" s="13"/>
      <c r="AV24">
        <v>14</v>
      </c>
      <c r="AW24">
        <f>COS(AV24*PI()/180)*$AW$8</f>
        <v>679.2070083931975</v>
      </c>
      <c r="AX24">
        <f>SIN(AV24*PI()/180)*$AW$8</f>
        <v>169.34532691976742</v>
      </c>
      <c r="AZ24">
        <f>IF(AV24&lt;$BE$7,AW24,VLOOKUP($BE$7,$AV$11:$AX$370,2,0))</f>
        <v>679.2070083931975</v>
      </c>
      <c r="BA24">
        <f>IF(AV24&lt;$BE$7,AX24,VLOOKUP($BE$7,$AV$11:$AX$370,3,0))</f>
        <v>169.34532691976742</v>
      </c>
    </row>
    <row r="25" spans="1:53" x14ac:dyDescent="0.25">
      <c r="B25">
        <v>600</v>
      </c>
      <c r="C25">
        <v>800</v>
      </c>
      <c r="I25">
        <v>15</v>
      </c>
      <c r="J25">
        <f t="shared" si="8"/>
        <v>482.96291314453418</v>
      </c>
      <c r="K25">
        <f t="shared" si="9"/>
        <v>129.40952255126038</v>
      </c>
      <c r="M25">
        <v>15</v>
      </c>
      <c r="N25">
        <f t="shared" si="10"/>
        <v>555.40735011621427</v>
      </c>
      <c r="O25">
        <f t="shared" si="11"/>
        <v>148.82095093394943</v>
      </c>
      <c r="Q25">
        <f t="shared" si="12"/>
        <v>77.645713530756225</v>
      </c>
      <c r="R25">
        <f t="shared" si="13"/>
        <v>289.77774788672048</v>
      </c>
      <c r="S25">
        <f t="shared" si="4"/>
        <v>-70.354286469243775</v>
      </c>
      <c r="T25">
        <f t="shared" si="2"/>
        <v>289.77774788672048</v>
      </c>
      <c r="V25">
        <f t="shared" si="14"/>
        <v>77.645713530756225</v>
      </c>
      <c r="W25">
        <f t="shared" si="15"/>
        <v>289.77774788672048</v>
      </c>
      <c r="X25">
        <f t="shared" si="16"/>
        <v>-70.354286469243775</v>
      </c>
      <c r="Y25">
        <f t="shared" si="17"/>
        <v>289.77774788672048</v>
      </c>
      <c r="AA25">
        <v>15</v>
      </c>
      <c r="AB25">
        <f t="shared" si="18"/>
        <v>434.66662183008071</v>
      </c>
      <c r="AC25">
        <f t="shared" si="19"/>
        <v>116.46857029613433</v>
      </c>
      <c r="AD25">
        <v>15</v>
      </c>
      <c r="AE25">
        <f t="shared" si="20"/>
        <v>627.85178708789442</v>
      </c>
      <c r="AF25">
        <f t="shared" si="21"/>
        <v>168.23237931663849</v>
      </c>
      <c r="AI25" s="137" t="str">
        <f>AI24</f>
        <v/>
      </c>
      <c r="AK25" t="e">
        <f t="shared" ref="AK25" si="49">VLOOKUP(AI25,$AD$10:$AF$370,2,0)</f>
        <v>#N/A</v>
      </c>
      <c r="AL25" t="e">
        <f t="shared" ref="AL25" si="50">VLOOKUP(AI25,$AD$10:$AF$370,3,0)</f>
        <v>#N/A</v>
      </c>
      <c r="AM25" s="480"/>
      <c r="AN25" s="9"/>
      <c r="AO25" s="9"/>
      <c r="AP25" s="9"/>
      <c r="AQ25" s="84" t="e">
        <f>IF(AK15&gt;0,1,-1)</f>
        <v>#N/A</v>
      </c>
      <c r="AR25" s="9" t="e">
        <f>AK15+(AO23*AQ25)</f>
        <v>#N/A</v>
      </c>
      <c r="AS25" s="4" t="e">
        <f>AL15+(AP23*AQ25)</f>
        <v>#N/A</v>
      </c>
      <c r="AT25" s="13" t="str">
        <f>("E"&amp;AH14)</f>
        <v>E4</v>
      </c>
      <c r="AV25">
        <v>15</v>
      </c>
      <c r="AW25">
        <f t="shared" si="24"/>
        <v>676.14807840234778</v>
      </c>
      <c r="AX25">
        <f t="shared" si="25"/>
        <v>181.17333157176452</v>
      </c>
      <c r="AZ25">
        <f t="shared" si="41"/>
        <v>676.14807840234778</v>
      </c>
      <c r="BA25">
        <f t="shared" si="27"/>
        <v>181.17333157176452</v>
      </c>
    </row>
    <row r="26" spans="1:53" x14ac:dyDescent="0.25">
      <c r="A26" t="str">
        <f>Tabelle3!BC55</f>
        <v>NSZ DN 1250</v>
      </c>
      <c r="B26" t="b">
        <f>Tabelle3!BD55</f>
        <v>0</v>
      </c>
      <c r="C26" t="b">
        <f>Tabelle3!BE55</f>
        <v>0</v>
      </c>
      <c r="I26">
        <v>16</v>
      </c>
      <c r="J26">
        <f t="shared" si="8"/>
        <v>480.63084796915945</v>
      </c>
      <c r="K26">
        <f t="shared" si="9"/>
        <v>137.81867790849958</v>
      </c>
      <c r="M26">
        <v>16</v>
      </c>
      <c r="N26">
        <f t="shared" si="10"/>
        <v>552.72547516453335</v>
      </c>
      <c r="O26">
        <f t="shared" si="11"/>
        <v>158.49147959477452</v>
      </c>
      <c r="Q26">
        <f t="shared" si="12"/>
        <v>82.691206745099748</v>
      </c>
      <c r="R26">
        <f t="shared" si="13"/>
        <v>288.37850878149567</v>
      </c>
      <c r="S26">
        <f t="shared" si="4"/>
        <v>-65.308793254900252</v>
      </c>
      <c r="T26">
        <f t="shared" si="2"/>
        <v>288.37850878149567</v>
      </c>
      <c r="V26">
        <f t="shared" si="14"/>
        <v>82.691206745099748</v>
      </c>
      <c r="W26">
        <f t="shared" si="15"/>
        <v>288.37850878149567</v>
      </c>
      <c r="X26">
        <f t="shared" si="16"/>
        <v>-65.308793254900252</v>
      </c>
      <c r="Y26">
        <f t="shared" si="17"/>
        <v>288.37850878149567</v>
      </c>
      <c r="AA26">
        <v>16</v>
      </c>
      <c r="AB26">
        <f t="shared" si="18"/>
        <v>432.56776317224353</v>
      </c>
      <c r="AC26">
        <f t="shared" si="19"/>
        <v>124.03681011764962</v>
      </c>
      <c r="AD26">
        <v>16</v>
      </c>
      <c r="AE26">
        <f t="shared" si="20"/>
        <v>624.82010235990731</v>
      </c>
      <c r="AF26">
        <f t="shared" si="21"/>
        <v>179.16428128104945</v>
      </c>
      <c r="AM26" s="480"/>
      <c r="AN26" s="9"/>
      <c r="AO26" s="9"/>
      <c r="AP26" s="9"/>
      <c r="AQ26" s="84" t="e">
        <f>IF(AK14&gt;0,1,-1)</f>
        <v>#N/A</v>
      </c>
      <c r="AR26" s="9" t="e">
        <f>AK14+(AO23*AQ26)</f>
        <v>#N/A</v>
      </c>
      <c r="AS26" s="4" t="e">
        <f>AL14+(AP23*AQ26)</f>
        <v>#N/A</v>
      </c>
      <c r="AT26" s="13"/>
      <c r="AV26">
        <v>16</v>
      </c>
      <c r="AW26">
        <f t="shared" si="24"/>
        <v>672.88318715682317</v>
      </c>
      <c r="AX26">
        <f t="shared" si="25"/>
        <v>192.94614907189941</v>
      </c>
      <c r="AZ26">
        <f t="shared" si="41"/>
        <v>672.88318715682317</v>
      </c>
      <c r="BA26">
        <f t="shared" si="27"/>
        <v>192.94614907189941</v>
      </c>
    </row>
    <row r="27" spans="1:53" ht="15.75" thickBot="1" x14ac:dyDescent="0.3">
      <c r="A27" t="str">
        <f>Tabelle3!BC56</f>
        <v>NSZ-D DN 1250</v>
      </c>
      <c r="B27" t="b">
        <f>Tabelle3!BD56</f>
        <v>0</v>
      </c>
      <c r="C27" t="b">
        <f>Tabelle3!BE56</f>
        <v>0</v>
      </c>
      <c r="I27">
        <v>17</v>
      </c>
      <c r="J27">
        <f t="shared" si="8"/>
        <v>478.1523779815177</v>
      </c>
      <c r="K27">
        <f t="shared" si="9"/>
        <v>146.18585236136838</v>
      </c>
      <c r="M27">
        <v>17</v>
      </c>
      <c r="N27">
        <f t="shared" si="10"/>
        <v>549.87523467874541</v>
      </c>
      <c r="O27">
        <f t="shared" si="11"/>
        <v>168.11373021557364</v>
      </c>
      <c r="Q27">
        <f t="shared" si="12"/>
        <v>87.711511416821025</v>
      </c>
      <c r="R27">
        <f t="shared" si="13"/>
        <v>286.89142678891062</v>
      </c>
      <c r="S27">
        <f t="shared" si="4"/>
        <v>-60.288488583178975</v>
      </c>
      <c r="T27">
        <f t="shared" si="2"/>
        <v>286.89142678891062</v>
      </c>
      <c r="V27">
        <f t="shared" si="14"/>
        <v>87.711511416821025</v>
      </c>
      <c r="W27">
        <f t="shared" si="15"/>
        <v>286.89142678891062</v>
      </c>
      <c r="X27">
        <f t="shared" si="16"/>
        <v>-60.288488583178975</v>
      </c>
      <c r="Y27">
        <f t="shared" si="17"/>
        <v>286.89142678891062</v>
      </c>
      <c r="AA27">
        <v>17</v>
      </c>
      <c r="AB27">
        <f t="shared" si="18"/>
        <v>430.33714018336593</v>
      </c>
      <c r="AC27">
        <f t="shared" si="19"/>
        <v>131.56726712523155</v>
      </c>
      <c r="AD27">
        <v>17</v>
      </c>
      <c r="AE27">
        <f t="shared" si="20"/>
        <v>621.59809137597301</v>
      </c>
      <c r="AF27">
        <f t="shared" si="21"/>
        <v>190.0416080697789</v>
      </c>
      <c r="AM27" s="481"/>
      <c r="AN27" s="10"/>
      <c r="AO27" s="10"/>
      <c r="AP27" s="10"/>
      <c r="AQ27" s="482"/>
      <c r="AR27" s="10" t="e">
        <f>AR23</f>
        <v>#N/A</v>
      </c>
      <c r="AS27" s="6" t="e">
        <f>AS23</f>
        <v>#N/A</v>
      </c>
      <c r="AT27" s="14"/>
      <c r="AV27">
        <v>17</v>
      </c>
      <c r="AW27">
        <f t="shared" si="24"/>
        <v>669.41332917412478</v>
      </c>
      <c r="AX27">
        <f t="shared" si="25"/>
        <v>204.66019330591573</v>
      </c>
      <c r="AZ27">
        <f t="shared" si="41"/>
        <v>669.41332917412478</v>
      </c>
      <c r="BA27">
        <f t="shared" si="27"/>
        <v>204.66019330591573</v>
      </c>
    </row>
    <row r="28" spans="1:53" x14ac:dyDescent="0.25">
      <c r="A28" t="str">
        <f>Tabelle3!BC57</f>
        <v>PBS DN 1500</v>
      </c>
      <c r="B28" t="b">
        <f>Tabelle3!BD57</f>
        <v>0</v>
      </c>
      <c r="C28" t="b">
        <f>Tabelle3!BE57</f>
        <v>0</v>
      </c>
      <c r="I28">
        <v>18</v>
      </c>
      <c r="J28">
        <f t="shared" si="8"/>
        <v>475.52825814757676</v>
      </c>
      <c r="K28">
        <f t="shared" si="9"/>
        <v>154.50849718747369</v>
      </c>
      <c r="M28">
        <v>18</v>
      </c>
      <c r="N28">
        <f t="shared" si="10"/>
        <v>546.85749686971326</v>
      </c>
      <c r="O28">
        <f t="shared" si="11"/>
        <v>177.68477176559475</v>
      </c>
      <c r="Q28">
        <f t="shared" si="12"/>
        <v>92.705098312484225</v>
      </c>
      <c r="R28">
        <f t="shared" si="13"/>
        <v>285.31695488854604</v>
      </c>
      <c r="S28">
        <f t="shared" si="4"/>
        <v>-55.294901687515775</v>
      </c>
      <c r="T28">
        <f t="shared" si="2"/>
        <v>285.31695488854604</v>
      </c>
      <c r="V28">
        <f t="shared" si="14"/>
        <v>92.705098312484225</v>
      </c>
      <c r="W28">
        <f t="shared" si="15"/>
        <v>285.31695488854604</v>
      </c>
      <c r="X28">
        <f t="shared" si="16"/>
        <v>-55.294901687515775</v>
      </c>
      <c r="Y28">
        <f t="shared" si="17"/>
        <v>285.31695488854604</v>
      </c>
      <c r="AA28">
        <v>18</v>
      </c>
      <c r="AB28">
        <f t="shared" si="18"/>
        <v>427.97543233281908</v>
      </c>
      <c r="AC28">
        <f t="shared" si="19"/>
        <v>139.05764746872632</v>
      </c>
      <c r="AD28">
        <v>18</v>
      </c>
      <c r="AE28">
        <f t="shared" si="20"/>
        <v>618.18673559184981</v>
      </c>
      <c r="AF28">
        <f t="shared" si="21"/>
        <v>200.8610463437158</v>
      </c>
      <c r="AI28" t="s">
        <v>1655</v>
      </c>
      <c r="AM28" s="478">
        <f>IF(Tabelle3!AW4=TRUE,"",Schachtanfrage!K30/2)</f>
        <v>0</v>
      </c>
      <c r="AN28" s="8" t="e">
        <f>AI16-90</f>
        <v>#VALUE!</v>
      </c>
      <c r="AO28" s="8" t="e">
        <f>COS(RADIANS(AN28))*AM28</f>
        <v>#VALUE!</v>
      </c>
      <c r="AP28" s="8" t="e">
        <f>SIN(RADIANS(AN28))*AM28</f>
        <v>#VALUE!</v>
      </c>
      <c r="AQ28" s="479" t="e">
        <f>IF(AK16&lt;0,1,-1)</f>
        <v>#N/A</v>
      </c>
      <c r="AR28" s="8" t="e">
        <f>AK16+AO28*AQ28</f>
        <v>#N/A</v>
      </c>
      <c r="AS28" s="2" t="e">
        <f>AL16+AP28*AQ28</f>
        <v>#N/A</v>
      </c>
      <c r="AT28" s="12"/>
      <c r="AV28">
        <v>18</v>
      </c>
      <c r="AW28">
        <f t="shared" si="24"/>
        <v>665.73956140660744</v>
      </c>
      <c r="AX28">
        <f t="shared" si="25"/>
        <v>216.31189606246318</v>
      </c>
      <c r="AZ28">
        <f t="shared" si="41"/>
        <v>665.73956140660744</v>
      </c>
      <c r="BA28">
        <f t="shared" si="27"/>
        <v>216.31189606246318</v>
      </c>
    </row>
    <row r="29" spans="1:53" x14ac:dyDescent="0.25">
      <c r="A29" t="str">
        <f>Tabelle3!BC58</f>
        <v>PBS DN 2000</v>
      </c>
      <c r="B29" t="b">
        <f>Tabelle3!BD58</f>
        <v>0</v>
      </c>
      <c r="C29" t="b">
        <f>Tabelle3!BE58</f>
        <v>0</v>
      </c>
      <c r="I29">
        <v>19</v>
      </c>
      <c r="J29">
        <f t="shared" si="8"/>
        <v>472.75928779965841</v>
      </c>
      <c r="K29">
        <f t="shared" si="9"/>
        <v>162.78407722857833</v>
      </c>
      <c r="M29">
        <v>19</v>
      </c>
      <c r="N29">
        <f t="shared" si="10"/>
        <v>543.67318096960719</v>
      </c>
      <c r="O29">
        <f t="shared" si="11"/>
        <v>187.20168881286506</v>
      </c>
      <c r="Q29">
        <f t="shared" si="12"/>
        <v>97.670446337146998</v>
      </c>
      <c r="R29">
        <f t="shared" si="13"/>
        <v>283.65557267979506</v>
      </c>
      <c r="S29">
        <f t="shared" si="4"/>
        <v>-50.329553662853002</v>
      </c>
      <c r="T29">
        <f t="shared" si="2"/>
        <v>283.65557267979506</v>
      </c>
      <c r="V29">
        <f t="shared" si="14"/>
        <v>97.670446337146998</v>
      </c>
      <c r="W29">
        <f t="shared" si="15"/>
        <v>283.65557267979506</v>
      </c>
      <c r="X29">
        <f t="shared" si="16"/>
        <v>-50.329553662853002</v>
      </c>
      <c r="Y29">
        <f t="shared" si="17"/>
        <v>283.65557267979506</v>
      </c>
      <c r="AA29">
        <v>19</v>
      </c>
      <c r="AB29">
        <f t="shared" si="18"/>
        <v>425.48335901969256</v>
      </c>
      <c r="AC29">
        <f t="shared" si="19"/>
        <v>146.50566950572048</v>
      </c>
      <c r="AD29">
        <v>19</v>
      </c>
      <c r="AE29">
        <f t="shared" si="20"/>
        <v>614.58707413955597</v>
      </c>
      <c r="AF29">
        <f t="shared" si="21"/>
        <v>211.61930039715182</v>
      </c>
      <c r="AH29" t="s">
        <v>1657</v>
      </c>
      <c r="AJ29" t="s">
        <v>209</v>
      </c>
      <c r="AK29" t="s">
        <v>206</v>
      </c>
      <c r="AM29" s="480"/>
      <c r="AN29" s="9"/>
      <c r="AO29" s="9"/>
      <c r="AP29" s="9"/>
      <c r="AQ29" s="84" t="e">
        <f>IF(AK16&lt;=0,1,-1)</f>
        <v>#N/A</v>
      </c>
      <c r="AR29" s="9" t="e">
        <f>AK17+AO28*AQ29</f>
        <v>#N/A</v>
      </c>
      <c r="AS29" s="4" t="e">
        <f>AL17+AP28*AQ29</f>
        <v>#N/A</v>
      </c>
      <c r="AT29" s="13"/>
      <c r="AV29">
        <v>19</v>
      </c>
      <c r="AW29">
        <f t="shared" si="24"/>
        <v>661.86300291952182</v>
      </c>
      <c r="AX29">
        <f t="shared" si="25"/>
        <v>227.89770812000964</v>
      </c>
      <c r="AZ29">
        <f t="shared" si="41"/>
        <v>661.86300291952182</v>
      </c>
      <c r="BA29">
        <f t="shared" si="27"/>
        <v>227.89770812000964</v>
      </c>
    </row>
    <row r="30" spans="1:53" x14ac:dyDescent="0.25">
      <c r="I30">
        <v>20</v>
      </c>
      <c r="J30">
        <f t="shared" si="8"/>
        <v>469.84631039295419</v>
      </c>
      <c r="K30">
        <f t="shared" si="9"/>
        <v>171.01007166283435</v>
      </c>
      <c r="M30">
        <v>20</v>
      </c>
      <c r="N30">
        <f t="shared" si="10"/>
        <v>540.32325695189729</v>
      </c>
      <c r="O30">
        <f t="shared" si="11"/>
        <v>196.66158241225952</v>
      </c>
      <c r="Q30">
        <f t="shared" si="12"/>
        <v>102.60604299770061</v>
      </c>
      <c r="R30">
        <f t="shared" si="13"/>
        <v>281.90778623577251</v>
      </c>
      <c r="S30">
        <f t="shared" si="4"/>
        <v>-45.393957002299388</v>
      </c>
      <c r="T30">
        <f t="shared" si="2"/>
        <v>281.90778623577251</v>
      </c>
      <c r="V30">
        <f t="shared" si="14"/>
        <v>102.60604299770061</v>
      </c>
      <c r="W30">
        <f t="shared" si="15"/>
        <v>281.90778623577251</v>
      </c>
      <c r="X30">
        <f t="shared" si="16"/>
        <v>-45.393957002299388</v>
      </c>
      <c r="Y30">
        <f t="shared" si="17"/>
        <v>281.90778623577251</v>
      </c>
      <c r="AA30">
        <v>20</v>
      </c>
      <c r="AB30">
        <f t="shared" si="18"/>
        <v>422.86167935365881</v>
      </c>
      <c r="AC30">
        <f t="shared" si="19"/>
        <v>153.90906449655091</v>
      </c>
      <c r="AD30">
        <v>20</v>
      </c>
      <c r="AE30">
        <f t="shared" si="20"/>
        <v>610.80020351084045</v>
      </c>
      <c r="AF30">
        <f t="shared" si="21"/>
        <v>222.31309316168466</v>
      </c>
      <c r="AG30" t="s">
        <v>1127</v>
      </c>
      <c r="AH30" s="28" t="e">
        <f>Linkauswahl!$G$96</f>
        <v>#N/A</v>
      </c>
      <c r="AI30" t="e">
        <f>AH30/2</f>
        <v>#N/A</v>
      </c>
      <c r="AJ30" s="28">
        <f>J8*1.3</f>
        <v>650</v>
      </c>
      <c r="AK30" s="28" t="e">
        <f>AI30</f>
        <v>#N/A</v>
      </c>
      <c r="AM30" s="480"/>
      <c r="AN30" s="9"/>
      <c r="AO30" s="9"/>
      <c r="AP30" s="9"/>
      <c r="AQ30" s="84" t="e">
        <f>IF(AK17&gt;0,1,-1)</f>
        <v>#N/A</v>
      </c>
      <c r="AR30" s="9" t="e">
        <f>AK17+(AO28*AQ30)</f>
        <v>#N/A</v>
      </c>
      <c r="AS30" s="4" t="e">
        <f>AL17+(AP28*AQ30)</f>
        <v>#N/A</v>
      </c>
      <c r="AT30" s="13" t="str">
        <f>("E"&amp;AH16)</f>
        <v>E5</v>
      </c>
      <c r="AV30">
        <v>20</v>
      </c>
      <c r="AW30">
        <f t="shared" si="24"/>
        <v>657.78483455013588</v>
      </c>
      <c r="AX30">
        <f t="shared" si="25"/>
        <v>239.4141003279681</v>
      </c>
      <c r="AZ30">
        <f t="shared" si="41"/>
        <v>657.78483455013588</v>
      </c>
      <c r="BA30">
        <f t="shared" si="27"/>
        <v>239.4141003279681</v>
      </c>
    </row>
    <row r="31" spans="1:53" x14ac:dyDescent="0.25">
      <c r="D31" t="s">
        <v>1665</v>
      </c>
      <c r="I31">
        <v>21</v>
      </c>
      <c r="J31">
        <f t="shared" si="8"/>
        <v>466.79021324860088</v>
      </c>
      <c r="K31">
        <f t="shared" si="9"/>
        <v>179.18397477265015</v>
      </c>
      <c r="M31">
        <v>21</v>
      </c>
      <c r="N31">
        <f t="shared" si="10"/>
        <v>536.80874523589102</v>
      </c>
      <c r="O31">
        <f t="shared" si="11"/>
        <v>206.06157098854766</v>
      </c>
      <c r="Q31">
        <f t="shared" si="12"/>
        <v>107.51038486359008</v>
      </c>
      <c r="R31">
        <f t="shared" si="13"/>
        <v>280.07412794916053</v>
      </c>
      <c r="S31">
        <f t="shared" si="4"/>
        <v>-40.489615136409924</v>
      </c>
      <c r="T31">
        <f t="shared" si="2"/>
        <v>280.07412794916053</v>
      </c>
      <c r="V31">
        <f t="shared" si="14"/>
        <v>107.51038486359008</v>
      </c>
      <c r="W31">
        <f t="shared" si="15"/>
        <v>280.07412794916053</v>
      </c>
      <c r="X31">
        <f t="shared" si="16"/>
        <v>-40.489615136409924</v>
      </c>
      <c r="Y31">
        <f t="shared" si="17"/>
        <v>280.07412794916053</v>
      </c>
      <c r="AA31">
        <v>21</v>
      </c>
      <c r="AB31">
        <f t="shared" si="18"/>
        <v>420.11119192374076</v>
      </c>
      <c r="AC31">
        <f t="shared" si="19"/>
        <v>161.26557729538513</v>
      </c>
      <c r="AD31">
        <v>21</v>
      </c>
      <c r="AE31">
        <f t="shared" si="20"/>
        <v>606.82727722318111</v>
      </c>
      <c r="AF31">
        <f t="shared" si="21"/>
        <v>232.93916720444517</v>
      </c>
      <c r="AI31" t="e">
        <f>0-AI30</f>
        <v>#N/A</v>
      </c>
      <c r="AJ31" s="28">
        <f>J8*0.9</f>
        <v>450</v>
      </c>
      <c r="AK31" s="28" t="e">
        <f>AK30</f>
        <v>#N/A</v>
      </c>
      <c r="AM31" s="480"/>
      <c r="AN31" s="9"/>
      <c r="AO31" s="9"/>
      <c r="AP31" s="9"/>
      <c r="AQ31" s="84" t="e">
        <f>IF(AK16&gt;0,1,-1)</f>
        <v>#N/A</v>
      </c>
      <c r="AR31" s="9" t="e">
        <f>AK16+(AO28*AQ31)</f>
        <v>#N/A</v>
      </c>
      <c r="AS31" s="4" t="e">
        <f>AL16+(AP28*AQ31)</f>
        <v>#N/A</v>
      </c>
      <c r="AT31" s="13"/>
      <c r="AV31">
        <v>21</v>
      </c>
      <c r="AW31">
        <f t="shared" si="24"/>
        <v>653.50629854804117</v>
      </c>
      <c r="AX31">
        <f t="shared" si="25"/>
        <v>250.85756468171019</v>
      </c>
      <c r="AZ31">
        <f t="shared" si="41"/>
        <v>653.50629854804117</v>
      </c>
      <c r="BA31">
        <f t="shared" si="27"/>
        <v>250.85756468171019</v>
      </c>
    </row>
    <row r="32" spans="1:53" ht="15.75" thickBot="1" x14ac:dyDescent="0.3">
      <c r="I32">
        <v>22</v>
      </c>
      <c r="J32">
        <f t="shared" si="8"/>
        <v>463.59192728339372</v>
      </c>
      <c r="K32">
        <f t="shared" si="9"/>
        <v>187.30329670795601</v>
      </c>
      <c r="M32">
        <v>22</v>
      </c>
      <c r="N32">
        <f t="shared" si="10"/>
        <v>533.13071637590281</v>
      </c>
      <c r="O32">
        <f t="shared" si="11"/>
        <v>215.39879121414941</v>
      </c>
      <c r="Q32">
        <f t="shared" si="12"/>
        <v>112.3819780247736</v>
      </c>
      <c r="R32">
        <f t="shared" si="13"/>
        <v>278.15515637003625</v>
      </c>
      <c r="S32">
        <f t="shared" si="4"/>
        <v>-35.618021975226398</v>
      </c>
      <c r="T32">
        <f t="shared" si="2"/>
        <v>278.15515637003625</v>
      </c>
      <c r="V32">
        <f t="shared" si="14"/>
        <v>112.3819780247736</v>
      </c>
      <c r="W32">
        <f t="shared" si="15"/>
        <v>278.15515637003625</v>
      </c>
      <c r="X32">
        <f t="shared" si="16"/>
        <v>-35.618021975226398</v>
      </c>
      <c r="Y32">
        <f t="shared" si="17"/>
        <v>278.15515637003625</v>
      </c>
      <c r="AA32">
        <v>22</v>
      </c>
      <c r="AB32">
        <f t="shared" si="18"/>
        <v>417.23273455505432</v>
      </c>
      <c r="AC32">
        <f t="shared" si="19"/>
        <v>168.5729670371604</v>
      </c>
      <c r="AD32">
        <v>22</v>
      </c>
      <c r="AE32">
        <f t="shared" si="20"/>
        <v>602.66950546841178</v>
      </c>
      <c r="AF32">
        <f t="shared" si="21"/>
        <v>243.49428572034282</v>
      </c>
      <c r="AM32" s="481"/>
      <c r="AN32" s="10"/>
      <c r="AO32" s="10"/>
      <c r="AP32" s="10"/>
      <c r="AQ32" s="482"/>
      <c r="AR32" s="10" t="e">
        <f>AR28</f>
        <v>#N/A</v>
      </c>
      <c r="AS32" s="6" t="e">
        <f>AS28</f>
        <v>#N/A</v>
      </c>
      <c r="AT32" s="14"/>
      <c r="AV32">
        <v>22</v>
      </c>
      <c r="AW32">
        <f t="shared" si="24"/>
        <v>649.02869819675118</v>
      </c>
      <c r="AX32">
        <f t="shared" si="25"/>
        <v>262.2246153911384</v>
      </c>
      <c r="AZ32">
        <f t="shared" si="41"/>
        <v>649.02869819675118</v>
      </c>
      <c r="BA32">
        <f t="shared" si="27"/>
        <v>262.2246153911384</v>
      </c>
    </row>
    <row r="33" spans="2:53" x14ac:dyDescent="0.25">
      <c r="B33" t="s">
        <v>2104</v>
      </c>
      <c r="D33">
        <v>0</v>
      </c>
      <c r="E33">
        <v>0</v>
      </c>
      <c r="I33">
        <v>23</v>
      </c>
      <c r="J33">
        <f t="shared" si="8"/>
        <v>460.25242672622016</v>
      </c>
      <c r="K33">
        <f t="shared" si="9"/>
        <v>195.36556424463686</v>
      </c>
      <c r="M33">
        <v>23</v>
      </c>
      <c r="N33">
        <f t="shared" si="10"/>
        <v>529.29029073515323</v>
      </c>
      <c r="O33">
        <f t="shared" si="11"/>
        <v>224.67039888133237</v>
      </c>
      <c r="Q33">
        <f t="shared" si="12"/>
        <v>117.21933854678211</v>
      </c>
      <c r="R33">
        <f t="shared" si="13"/>
        <v>276.15145603573211</v>
      </c>
      <c r="S33">
        <f t="shared" si="4"/>
        <v>-30.780661453217888</v>
      </c>
      <c r="T33">
        <f t="shared" si="2"/>
        <v>276.15145603573211</v>
      </c>
      <c r="V33">
        <f t="shared" si="14"/>
        <v>117.21933854678211</v>
      </c>
      <c r="W33">
        <f t="shared" si="15"/>
        <v>276.15145603573211</v>
      </c>
      <c r="X33">
        <f t="shared" si="16"/>
        <v>-30.780661453217888</v>
      </c>
      <c r="Y33">
        <f t="shared" si="17"/>
        <v>276.15145603573211</v>
      </c>
      <c r="AA33">
        <v>23</v>
      </c>
      <c r="AB33">
        <f t="shared" si="18"/>
        <v>414.22718405359819</v>
      </c>
      <c r="AC33">
        <f t="shared" si="19"/>
        <v>175.82900782017316</v>
      </c>
      <c r="AD33">
        <v>23</v>
      </c>
      <c r="AE33">
        <f t="shared" si="20"/>
        <v>598.32815474408619</v>
      </c>
      <c r="AF33">
        <f t="shared" si="21"/>
        <v>253.97523351802792</v>
      </c>
      <c r="AJ33" s="28">
        <f>AJ30</f>
        <v>650</v>
      </c>
      <c r="AK33" s="28" t="e">
        <f>0-AK30</f>
        <v>#N/A</v>
      </c>
      <c r="AM33" s="478">
        <f>IF(Tabelle3!AW4=TRUE,"",Schachtanfrage!K35/2)</f>
        <v>0</v>
      </c>
      <c r="AN33" s="8" t="e">
        <f>AI18-90</f>
        <v>#VALUE!</v>
      </c>
      <c r="AO33" s="8" t="e">
        <f>COS(RADIANS(AN33))*AM33</f>
        <v>#VALUE!</v>
      </c>
      <c r="AP33" s="8" t="e">
        <f>SIN(RADIANS(AN33))*AM33</f>
        <v>#VALUE!</v>
      </c>
      <c r="AQ33" s="479" t="e">
        <f>IF(AK18&lt;0,1,-1)</f>
        <v>#N/A</v>
      </c>
      <c r="AR33" s="8" t="e">
        <f>AK18+AO33*AQ33</f>
        <v>#N/A</v>
      </c>
      <c r="AS33" s="2" t="e">
        <f>AL18+AP33*AQ33</f>
        <v>#N/A</v>
      </c>
      <c r="AT33" s="12"/>
      <c r="AV33">
        <v>23</v>
      </c>
      <c r="AW33">
        <f t="shared" si="24"/>
        <v>644.35339741670828</v>
      </c>
      <c r="AX33">
        <f t="shared" si="25"/>
        <v>273.51178994249159</v>
      </c>
      <c r="AZ33">
        <f t="shared" si="41"/>
        <v>644.35339741670828</v>
      </c>
      <c r="BA33">
        <f t="shared" si="27"/>
        <v>273.51178994249159</v>
      </c>
    </row>
    <row r="34" spans="2:53" x14ac:dyDescent="0.25">
      <c r="C34">
        <v>0</v>
      </c>
      <c r="D34">
        <f>COS(C34*PI()/180)*($N$8+200)</f>
        <v>775</v>
      </c>
      <c r="E34">
        <f>SIN(C34*PI()/180)*($N$8+200)</f>
        <v>0</v>
      </c>
      <c r="I34">
        <v>24</v>
      </c>
      <c r="J34">
        <f t="shared" si="8"/>
        <v>456.77272882130046</v>
      </c>
      <c r="K34">
        <f t="shared" si="9"/>
        <v>203.36832153790007</v>
      </c>
      <c r="M34">
        <v>24</v>
      </c>
      <c r="N34">
        <f t="shared" si="10"/>
        <v>525.28863814449551</v>
      </c>
      <c r="O34">
        <f t="shared" si="11"/>
        <v>233.8735697685851</v>
      </c>
      <c r="Q34">
        <f t="shared" si="12"/>
        <v>122.02099292274005</v>
      </c>
      <c r="R34">
        <f t="shared" si="13"/>
        <v>274.06363729278024</v>
      </c>
      <c r="S34">
        <f t="shared" si="4"/>
        <v>-25.979007077259951</v>
      </c>
      <c r="T34">
        <f t="shared" si="2"/>
        <v>274.06363729278024</v>
      </c>
      <c r="V34">
        <f t="shared" si="14"/>
        <v>122.02099292274005</v>
      </c>
      <c r="W34">
        <f t="shared" si="15"/>
        <v>274.06363729278024</v>
      </c>
      <c r="X34">
        <f t="shared" si="16"/>
        <v>-25.979007077259951</v>
      </c>
      <c r="Y34">
        <f t="shared" si="17"/>
        <v>274.06363729278024</v>
      </c>
      <c r="AA34">
        <v>24</v>
      </c>
      <c r="AB34">
        <f t="shared" si="18"/>
        <v>411.09545593917039</v>
      </c>
      <c r="AC34">
        <f t="shared" si="19"/>
        <v>183.03148938411007</v>
      </c>
      <c r="AD34">
        <v>24</v>
      </c>
      <c r="AE34">
        <f t="shared" si="20"/>
        <v>593.80454746769055</v>
      </c>
      <c r="AF34">
        <f t="shared" si="21"/>
        <v>264.3788179992701</v>
      </c>
      <c r="AJ34" s="28">
        <f>AJ31</f>
        <v>450</v>
      </c>
      <c r="AK34" s="28" t="e">
        <f>AK33</f>
        <v>#N/A</v>
      </c>
      <c r="AM34" s="480"/>
      <c r="AN34" s="9"/>
      <c r="AO34" s="9"/>
      <c r="AP34" s="9"/>
      <c r="AQ34" s="84" t="e">
        <f>IF(AK18&lt;=0,1,-1)</f>
        <v>#N/A</v>
      </c>
      <c r="AR34" s="9" t="e">
        <f>AK19+AO33*AQ34</f>
        <v>#N/A</v>
      </c>
      <c r="AS34" s="4" t="e">
        <f>AL19+AP33*AQ34</f>
        <v>#N/A</v>
      </c>
      <c r="AT34" s="13"/>
      <c r="AV34">
        <v>24</v>
      </c>
      <c r="AW34">
        <f t="shared" si="24"/>
        <v>639.48182034982062</v>
      </c>
      <c r="AX34">
        <f t="shared" si="25"/>
        <v>284.7156501530601</v>
      </c>
      <c r="AZ34">
        <f t="shared" si="41"/>
        <v>639.48182034982062</v>
      </c>
      <c r="BA34">
        <f t="shared" si="27"/>
        <v>284.7156501530601</v>
      </c>
    </row>
    <row r="35" spans="2:53" x14ac:dyDescent="0.25">
      <c r="I35">
        <v>25</v>
      </c>
      <c r="J35">
        <f t="shared" si="8"/>
        <v>453.15389351832499</v>
      </c>
      <c r="K35">
        <f t="shared" si="9"/>
        <v>211.30913087034972</v>
      </c>
      <c r="M35">
        <v>25</v>
      </c>
      <c r="N35">
        <f t="shared" si="10"/>
        <v>521.1269775460737</v>
      </c>
      <c r="O35">
        <f t="shared" si="11"/>
        <v>243.00550050090217</v>
      </c>
      <c r="Q35">
        <f t="shared" si="12"/>
        <v>126.78547852220983</v>
      </c>
      <c r="R35">
        <f t="shared" si="13"/>
        <v>271.89233611099496</v>
      </c>
      <c r="S35">
        <f t="shared" si="4"/>
        <v>-21.214521477790171</v>
      </c>
      <c r="T35">
        <f t="shared" si="2"/>
        <v>271.89233611099496</v>
      </c>
      <c r="V35">
        <f t="shared" si="14"/>
        <v>126.78547852220983</v>
      </c>
      <c r="W35">
        <f t="shared" si="15"/>
        <v>271.89233611099496</v>
      </c>
      <c r="X35">
        <f t="shared" si="16"/>
        <v>-21.214521477790171</v>
      </c>
      <c r="Y35">
        <f t="shared" si="17"/>
        <v>271.89233611099496</v>
      </c>
      <c r="AA35">
        <v>25</v>
      </c>
      <c r="AB35">
        <f t="shared" si="18"/>
        <v>407.8385041664925</v>
      </c>
      <c r="AC35">
        <f t="shared" si="19"/>
        <v>190.17821778331475</v>
      </c>
      <c r="AD35">
        <v>25</v>
      </c>
      <c r="AE35">
        <f t="shared" si="20"/>
        <v>589.10006157382247</v>
      </c>
      <c r="AF35">
        <f t="shared" si="21"/>
        <v>274.70187013145465</v>
      </c>
      <c r="AH35" t="s">
        <v>1658</v>
      </c>
      <c r="AM35" s="480"/>
      <c r="AN35" s="9"/>
      <c r="AO35" s="9"/>
      <c r="AP35" s="9"/>
      <c r="AQ35" s="84" t="e">
        <f>IF(AK19&gt;0,1,-1)</f>
        <v>#N/A</v>
      </c>
      <c r="AR35" s="9" t="e">
        <f>AK19+(AO33*AQ35)</f>
        <v>#N/A</v>
      </c>
      <c r="AS35" s="4" t="e">
        <f>AL19+(AP33*AQ35)</f>
        <v>#N/A</v>
      </c>
      <c r="AT35" s="13" t="str">
        <f>("E"&amp;AH18)</f>
        <v>E6</v>
      </c>
      <c r="AV35">
        <v>25</v>
      </c>
      <c r="AW35">
        <f t="shared" si="24"/>
        <v>634.41545092565491</v>
      </c>
      <c r="AX35">
        <f t="shared" si="25"/>
        <v>295.83278321848962</v>
      </c>
      <c r="AZ35">
        <f t="shared" si="41"/>
        <v>634.41545092565491</v>
      </c>
      <c r="BA35">
        <f t="shared" si="27"/>
        <v>295.83278321848962</v>
      </c>
    </row>
    <row r="36" spans="2:53" x14ac:dyDescent="0.25">
      <c r="B36" t="str">
        <f>IF(Schachtanfrage!$E$28=45,"45° E1",IF(Schachtanfrage!$E$33=45,"45° E2",IF(Schachtanfrage!$E$38=45,"45° E3",IF(Schachtanfrage!$E$43=45,"45° E4",IF(Schachtanfrage!$K$28=45,"45° E5",IF(Schachtanfrage!$K$33=45,"45° E6",IF(Schachtanfrage!$K$38=45,"45° E7",IF(Schachtanfrage!$K$43=45,"45° E8","45°"))))))))</f>
        <v>45°</v>
      </c>
      <c r="D36">
        <v>0</v>
      </c>
      <c r="E36">
        <v>0</v>
      </c>
      <c r="I36">
        <v>26</v>
      </c>
      <c r="J36">
        <f t="shared" si="8"/>
        <v>449.3970231495835</v>
      </c>
      <c r="K36">
        <f t="shared" si="9"/>
        <v>219.18557339453869</v>
      </c>
      <c r="M36">
        <v>26</v>
      </c>
      <c r="N36">
        <f t="shared" si="10"/>
        <v>516.806576622021</v>
      </c>
      <c r="O36">
        <f t="shared" si="11"/>
        <v>252.0634094037195</v>
      </c>
      <c r="Q36">
        <f t="shared" si="12"/>
        <v>131.51134403672322</v>
      </c>
      <c r="R36">
        <f t="shared" si="13"/>
        <v>269.63821388975009</v>
      </c>
      <c r="S36">
        <f t="shared" si="4"/>
        <v>-16.488655963276784</v>
      </c>
      <c r="T36">
        <f t="shared" si="2"/>
        <v>269.63821388975009</v>
      </c>
      <c r="V36">
        <f t="shared" si="14"/>
        <v>131.51134403672322</v>
      </c>
      <c r="W36">
        <f t="shared" si="15"/>
        <v>269.63821388975009</v>
      </c>
      <c r="X36">
        <f t="shared" si="16"/>
        <v>-16.488655963276784</v>
      </c>
      <c r="Y36">
        <f t="shared" si="17"/>
        <v>269.63821388975009</v>
      </c>
      <c r="AA36">
        <v>26</v>
      </c>
      <c r="AB36">
        <f t="shared" si="18"/>
        <v>404.45732083462519</v>
      </c>
      <c r="AC36">
        <f t="shared" si="19"/>
        <v>197.26701605508484</v>
      </c>
      <c r="AD36">
        <v>26</v>
      </c>
      <c r="AE36">
        <f t="shared" si="20"/>
        <v>584.21613009445855</v>
      </c>
      <c r="AF36">
        <f t="shared" si="21"/>
        <v>284.94124541290029</v>
      </c>
      <c r="AH36" t="b">
        <f>Kollision!R7</f>
        <v>0</v>
      </c>
      <c r="AJ36" s="28">
        <f>AJ30</f>
        <v>650</v>
      </c>
      <c r="AK36" s="28" t="e">
        <f>AK30</f>
        <v>#N/A</v>
      </c>
      <c r="AM36" s="480"/>
      <c r="AN36" s="9"/>
      <c r="AO36" s="9"/>
      <c r="AP36" s="9"/>
      <c r="AQ36" s="84" t="e">
        <f>IF(AK18&gt;0,1,-1)</f>
        <v>#N/A</v>
      </c>
      <c r="AR36" s="9" t="e">
        <f>AK18+(AO33*AQ36)</f>
        <v>#N/A</v>
      </c>
      <c r="AS36" s="4" t="e">
        <f>AL18+(AP33*AQ36)</f>
        <v>#N/A</v>
      </c>
      <c r="AT36" s="13"/>
      <c r="AV36">
        <v>26</v>
      </c>
      <c r="AW36">
        <f t="shared" si="24"/>
        <v>629.15583240941692</v>
      </c>
      <c r="AX36">
        <f t="shared" si="25"/>
        <v>306.8598027523542</v>
      </c>
      <c r="AZ36">
        <f t="shared" si="41"/>
        <v>629.15583240941692</v>
      </c>
      <c r="BA36">
        <f t="shared" si="27"/>
        <v>306.8598027523542</v>
      </c>
    </row>
    <row r="37" spans="2:53" ht="15.75" thickBot="1" x14ac:dyDescent="0.3">
      <c r="C37">
        <v>45</v>
      </c>
      <c r="D37">
        <f t="shared" ref="D37" si="51">COS(C37*PI()/180)*($N$8+200)</f>
        <v>548.00775541957432</v>
      </c>
      <c r="E37">
        <f t="shared" ref="E37" si="52">SIN(C37*PI()/180)*($N$8+200)</f>
        <v>548.00775541957432</v>
      </c>
      <c r="I37">
        <v>27</v>
      </c>
      <c r="J37">
        <f t="shared" si="8"/>
        <v>445.50326209418392</v>
      </c>
      <c r="K37">
        <f t="shared" si="9"/>
        <v>226.99524986977337</v>
      </c>
      <c r="M37">
        <v>27</v>
      </c>
      <c r="N37">
        <f t="shared" si="10"/>
        <v>512.32875140831152</v>
      </c>
      <c r="O37">
        <f t="shared" si="11"/>
        <v>261.04453735023935</v>
      </c>
      <c r="Q37">
        <f t="shared" si="12"/>
        <v>136.19714992186402</v>
      </c>
      <c r="R37">
        <f t="shared" si="13"/>
        <v>267.30195725651038</v>
      </c>
      <c r="S37">
        <f t="shared" si="4"/>
        <v>-11.802850078135975</v>
      </c>
      <c r="T37">
        <f t="shared" si="2"/>
        <v>267.30195725651038</v>
      </c>
      <c r="V37">
        <f t="shared" si="14"/>
        <v>136.19714992186402</v>
      </c>
      <c r="W37">
        <f t="shared" si="15"/>
        <v>267.30195725651038</v>
      </c>
      <c r="X37">
        <f t="shared" si="16"/>
        <v>-11.802850078135975</v>
      </c>
      <c r="Y37">
        <f t="shared" si="17"/>
        <v>267.30195725651038</v>
      </c>
      <c r="AA37">
        <v>27</v>
      </c>
      <c r="AB37">
        <f t="shared" si="18"/>
        <v>400.95293588476557</v>
      </c>
      <c r="AC37">
        <f t="shared" si="19"/>
        <v>204.29572488279604</v>
      </c>
      <c r="AD37">
        <v>27</v>
      </c>
      <c r="AE37">
        <f t="shared" si="20"/>
        <v>579.15424072243911</v>
      </c>
      <c r="AF37">
        <f t="shared" si="21"/>
        <v>295.09382483070539</v>
      </c>
      <c r="AG37" t="s">
        <v>1127</v>
      </c>
      <c r="AH37" s="28" t="str">
        <f>IF(AH36=TRUE,AH30,"")</f>
        <v/>
      </c>
      <c r="AI37" t="e">
        <f>AH37/2</f>
        <v>#VALUE!</v>
      </c>
      <c r="AJ37" s="28">
        <f>AJ30</f>
        <v>650</v>
      </c>
      <c r="AK37" s="28" t="e">
        <f>AK33</f>
        <v>#N/A</v>
      </c>
      <c r="AM37" s="481"/>
      <c r="AN37" s="10"/>
      <c r="AO37" s="10"/>
      <c r="AP37" s="10"/>
      <c r="AQ37" s="482"/>
      <c r="AR37" s="10" t="e">
        <f>AR33</f>
        <v>#N/A</v>
      </c>
      <c r="AS37" s="6" t="e">
        <f>AS33</f>
        <v>#N/A</v>
      </c>
      <c r="AT37" s="14"/>
      <c r="AV37">
        <v>27</v>
      </c>
      <c r="AW37">
        <f t="shared" si="24"/>
        <v>623.70456693185758</v>
      </c>
      <c r="AX37">
        <f t="shared" si="25"/>
        <v>317.79334981768272</v>
      </c>
      <c r="AZ37">
        <f t="shared" si="41"/>
        <v>623.70456693185758</v>
      </c>
      <c r="BA37">
        <f t="shared" si="27"/>
        <v>317.79334981768272</v>
      </c>
    </row>
    <row r="38" spans="2:53" x14ac:dyDescent="0.25">
      <c r="I38">
        <v>28</v>
      </c>
      <c r="J38">
        <f t="shared" si="8"/>
        <v>441.4737964294635</v>
      </c>
      <c r="K38">
        <f t="shared" si="9"/>
        <v>234.7357813929454</v>
      </c>
      <c r="M38">
        <v>28</v>
      </c>
      <c r="N38">
        <f t="shared" si="10"/>
        <v>507.69486589388299</v>
      </c>
      <c r="O38">
        <f t="shared" si="11"/>
        <v>269.94614860188722</v>
      </c>
      <c r="Q38">
        <f t="shared" si="12"/>
        <v>140.84146883576724</v>
      </c>
      <c r="R38">
        <f t="shared" si="13"/>
        <v>264.88427785767811</v>
      </c>
      <c r="S38">
        <f t="shared" si="4"/>
        <v>-7.1585311642327554</v>
      </c>
      <c r="T38">
        <f t="shared" si="2"/>
        <v>264.88427785767811</v>
      </c>
      <c r="V38">
        <f t="shared" si="14"/>
        <v>140.84146883576724</v>
      </c>
      <c r="W38">
        <f t="shared" si="15"/>
        <v>264.88427785767811</v>
      </c>
      <c r="X38">
        <f t="shared" si="16"/>
        <v>-7.1585311642327554</v>
      </c>
      <c r="Y38">
        <f t="shared" si="17"/>
        <v>264.88427785767811</v>
      </c>
      <c r="AA38">
        <v>28</v>
      </c>
      <c r="AB38">
        <f t="shared" si="18"/>
        <v>397.32641678651714</v>
      </c>
      <c r="AC38">
        <f t="shared" si="19"/>
        <v>211.26220325365085</v>
      </c>
      <c r="AD38">
        <v>28</v>
      </c>
      <c r="AE38">
        <f t="shared" si="20"/>
        <v>573.91593535830259</v>
      </c>
      <c r="AF38">
        <f t="shared" si="21"/>
        <v>305.15651581082903</v>
      </c>
      <c r="AM38" s="478">
        <f>IF(Tabelle3!AW4=TRUE,"",Schachtanfrage!K40/2)</f>
        <v>0</v>
      </c>
      <c r="AN38" s="8" t="e">
        <f>AI20-90</f>
        <v>#VALUE!</v>
      </c>
      <c r="AO38" s="8" t="e">
        <f>COS(RADIANS(AN38))*AM38</f>
        <v>#VALUE!</v>
      </c>
      <c r="AP38" s="8" t="e">
        <f>SIN(RADIANS(AN38))*AM38</f>
        <v>#VALUE!</v>
      </c>
      <c r="AQ38" s="479" t="e">
        <f>IF(AK20&lt;0,1,-1)</f>
        <v>#N/A</v>
      </c>
      <c r="AR38" s="8" t="e">
        <f>AK20+AO38*AQ38</f>
        <v>#N/A</v>
      </c>
      <c r="AS38" s="2" t="e">
        <f>AL20+AP38*AQ38</f>
        <v>#N/A</v>
      </c>
      <c r="AT38" s="12"/>
      <c r="AV38">
        <v>28</v>
      </c>
      <c r="AW38">
        <f t="shared" si="24"/>
        <v>618.06331500124884</v>
      </c>
      <c r="AX38">
        <f t="shared" si="25"/>
        <v>328.63009395012358</v>
      </c>
      <c r="AZ38">
        <f t="shared" si="41"/>
        <v>618.06331500124884</v>
      </c>
      <c r="BA38">
        <f t="shared" si="27"/>
        <v>328.63009395012358</v>
      </c>
    </row>
    <row r="39" spans="2:53" x14ac:dyDescent="0.25">
      <c r="B39" t="str">
        <f>IF(Schachtanfrage!$E$28=90,"90° E1",IF(Schachtanfrage!$E$33=90,"90° E2",IF(Schachtanfrage!$E$38=90,"90° E3",IF(Schachtanfrage!$E$43=90,"90° E4",IF(Schachtanfrage!$K$28=90,"90° E5",IF(Schachtanfrage!$K$33=90,"90° E6",IF(Schachtanfrage!$K$38=90,"90° E7",IF(Schachtanfrage!$K$43=90,"90° E8","90°"))))))))</f>
        <v>90°</v>
      </c>
      <c r="D39">
        <v>0</v>
      </c>
      <c r="E39">
        <v>0</v>
      </c>
      <c r="I39">
        <v>29</v>
      </c>
      <c r="J39">
        <f t="shared" si="8"/>
        <v>437.30985356969785</v>
      </c>
      <c r="K39">
        <f t="shared" si="9"/>
        <v>242.40481012316852</v>
      </c>
      <c r="M39">
        <v>29</v>
      </c>
      <c r="N39">
        <f t="shared" si="10"/>
        <v>502.90633160515256</v>
      </c>
      <c r="O39">
        <f t="shared" si="11"/>
        <v>278.7655316416438</v>
      </c>
      <c r="Q39">
        <f t="shared" si="12"/>
        <v>145.44288607390112</v>
      </c>
      <c r="R39">
        <f t="shared" si="13"/>
        <v>262.38591214181872</v>
      </c>
      <c r="S39">
        <f t="shared" si="4"/>
        <v>-2.5571139260988787</v>
      </c>
      <c r="T39">
        <f t="shared" si="2"/>
        <v>262.38591214181872</v>
      </c>
      <c r="V39">
        <f t="shared" si="14"/>
        <v>145.44288607390112</v>
      </c>
      <c r="W39">
        <f t="shared" si="15"/>
        <v>262.38591214181872</v>
      </c>
      <c r="X39">
        <f t="shared" si="16"/>
        <v>-2.5571139260988787</v>
      </c>
      <c r="Y39">
        <f t="shared" si="17"/>
        <v>262.38591214181872</v>
      </c>
      <c r="AA39">
        <v>29</v>
      </c>
      <c r="AB39">
        <f t="shared" si="18"/>
        <v>393.57886821272808</v>
      </c>
      <c r="AC39">
        <f t="shared" si="19"/>
        <v>218.16432911085167</v>
      </c>
      <c r="AD39">
        <v>29</v>
      </c>
      <c r="AE39">
        <f t="shared" si="20"/>
        <v>568.50280964060721</v>
      </c>
      <c r="AF39">
        <f t="shared" si="21"/>
        <v>315.12625316011906</v>
      </c>
      <c r="AJ39" s="28">
        <f>AJ34</f>
        <v>450</v>
      </c>
      <c r="AK39" s="28" t="e">
        <f>AK36</f>
        <v>#N/A</v>
      </c>
      <c r="AM39" s="480"/>
      <c r="AN39" s="9"/>
      <c r="AO39" s="9"/>
      <c r="AP39" s="9"/>
      <c r="AQ39" s="84" t="e">
        <f>IF(AK20&lt;=0,1,-1)</f>
        <v>#N/A</v>
      </c>
      <c r="AR39" s="9" t="e">
        <f>AK21+AO38*AQ39</f>
        <v>#N/A</v>
      </c>
      <c r="AS39" s="4" t="e">
        <f>AL21+AP38*AQ39</f>
        <v>#N/A</v>
      </c>
      <c r="AT39" s="13"/>
      <c r="AV39">
        <v>29</v>
      </c>
      <c r="AW39">
        <f t="shared" si="24"/>
        <v>612.23379499757698</v>
      </c>
      <c r="AX39">
        <f t="shared" si="25"/>
        <v>339.36673417243594</v>
      </c>
      <c r="AZ39">
        <f t="shared" si="41"/>
        <v>612.23379499757698</v>
      </c>
      <c r="BA39">
        <f t="shared" si="27"/>
        <v>339.36673417243594</v>
      </c>
    </row>
    <row r="40" spans="2:53" x14ac:dyDescent="0.25">
      <c r="C40">
        <v>90</v>
      </c>
      <c r="D40">
        <f t="shared" ref="D40" si="53">COS(C40*PI()/180)*($N$8+200)</f>
        <v>4.7474502627709025E-14</v>
      </c>
      <c r="E40">
        <f t="shared" ref="E40" si="54">SIN(C40*PI()/180)*($N$8+200)</f>
        <v>775</v>
      </c>
      <c r="I40">
        <v>30</v>
      </c>
      <c r="J40">
        <f t="shared" si="8"/>
        <v>433.01270189221935</v>
      </c>
      <c r="K40">
        <f t="shared" si="9"/>
        <v>249.99999999999997</v>
      </c>
      <c r="M40">
        <v>30</v>
      </c>
      <c r="N40">
        <f t="shared" si="10"/>
        <v>497.96460717605225</v>
      </c>
      <c r="O40">
        <f t="shared" si="11"/>
        <v>287.49999999999994</v>
      </c>
      <c r="Q40">
        <f t="shared" si="12"/>
        <v>149.99999999999997</v>
      </c>
      <c r="R40">
        <f t="shared" si="13"/>
        <v>259.8076211353316</v>
      </c>
      <c r="S40">
        <f t="shared" si="4"/>
        <v>1.9999999999999716</v>
      </c>
      <c r="T40">
        <f t="shared" si="2"/>
        <v>259.8076211353316</v>
      </c>
      <c r="V40">
        <f t="shared" si="14"/>
        <v>149.99999999999997</v>
      </c>
      <c r="W40">
        <f t="shared" si="15"/>
        <v>259.8076211353316</v>
      </c>
      <c r="X40">
        <f t="shared" si="16"/>
        <v>1.9999999999999716</v>
      </c>
      <c r="Y40">
        <f t="shared" si="17"/>
        <v>259.8076211353316</v>
      </c>
      <c r="AA40">
        <v>30</v>
      </c>
      <c r="AB40">
        <f t="shared" si="18"/>
        <v>389.7114317029974</v>
      </c>
      <c r="AC40">
        <f t="shared" si="19"/>
        <v>224.99999999999997</v>
      </c>
      <c r="AD40">
        <v>30</v>
      </c>
      <c r="AE40">
        <f t="shared" si="20"/>
        <v>562.91651245988521</v>
      </c>
      <c r="AF40">
        <f t="shared" si="21"/>
        <v>324.99999999999994</v>
      </c>
      <c r="AJ40" s="28">
        <f>AJ34</f>
        <v>450</v>
      </c>
      <c r="AK40" s="28" t="e">
        <f>AK37</f>
        <v>#N/A</v>
      </c>
      <c r="AM40" s="480"/>
      <c r="AN40" s="9"/>
      <c r="AO40" s="9"/>
      <c r="AP40" s="9"/>
      <c r="AQ40" s="84" t="e">
        <f>IF(AK21&gt;0,1,-1)</f>
        <v>#N/A</v>
      </c>
      <c r="AR40" s="9" t="e">
        <f>AK21+(AO38*AQ40)</f>
        <v>#N/A</v>
      </c>
      <c r="AS40" s="4" t="e">
        <f>AL21+(AP38*AQ40)</f>
        <v>#N/A</v>
      </c>
      <c r="AT40" s="13" t="str">
        <f>("E"&amp;AH20)</f>
        <v>E7</v>
      </c>
      <c r="AV40">
        <v>30</v>
      </c>
      <c r="AW40">
        <f t="shared" si="24"/>
        <v>606.21778264910711</v>
      </c>
      <c r="AX40">
        <f t="shared" si="25"/>
        <v>349.99999999999994</v>
      </c>
      <c r="AZ40">
        <f t="shared" si="41"/>
        <v>606.21778264910711</v>
      </c>
      <c r="BA40">
        <f t="shared" si="27"/>
        <v>349.99999999999994</v>
      </c>
    </row>
    <row r="41" spans="2:53" x14ac:dyDescent="0.25">
      <c r="I41">
        <v>31</v>
      </c>
      <c r="J41">
        <f t="shared" si="8"/>
        <v>428.58365035105618</v>
      </c>
      <c r="K41">
        <f t="shared" si="9"/>
        <v>257.5190374550271</v>
      </c>
      <c r="M41">
        <v>31</v>
      </c>
      <c r="N41">
        <f t="shared" si="10"/>
        <v>492.87119790371457</v>
      </c>
      <c r="O41">
        <f t="shared" si="11"/>
        <v>296.14689307328115</v>
      </c>
      <c r="Q41">
        <f t="shared" si="12"/>
        <v>154.51142247301624</v>
      </c>
      <c r="R41">
        <f t="shared" si="13"/>
        <v>257.1501902106337</v>
      </c>
      <c r="S41">
        <f t="shared" si="4"/>
        <v>6.5114224730162391</v>
      </c>
      <c r="T41">
        <f t="shared" si="2"/>
        <v>257.1501902106337</v>
      </c>
      <c r="V41">
        <f t="shared" si="14"/>
        <v>154.51142247301624</v>
      </c>
      <c r="W41">
        <f t="shared" si="15"/>
        <v>257.1501902106337</v>
      </c>
      <c r="X41">
        <f t="shared" si="16"/>
        <v>6.5114224730162391</v>
      </c>
      <c r="Y41">
        <f t="shared" si="17"/>
        <v>257.1501902106337</v>
      </c>
      <c r="AA41">
        <v>31</v>
      </c>
      <c r="AB41">
        <f t="shared" si="18"/>
        <v>385.72528531595054</v>
      </c>
      <c r="AC41">
        <f t="shared" si="19"/>
        <v>231.76713370952436</v>
      </c>
      <c r="AD41">
        <v>31</v>
      </c>
      <c r="AE41">
        <f t="shared" si="20"/>
        <v>557.15874545637303</v>
      </c>
      <c r="AF41">
        <f t="shared" si="21"/>
        <v>334.77474869153519</v>
      </c>
      <c r="AM41" s="480"/>
      <c r="AN41" s="9"/>
      <c r="AO41" s="9"/>
      <c r="AP41" s="9"/>
      <c r="AQ41" s="84" t="e">
        <f>IF(AK20&gt;0,1,-1)</f>
        <v>#N/A</v>
      </c>
      <c r="AR41" s="9" t="e">
        <f>AK20+(AO38*AQ41)</f>
        <v>#N/A</v>
      </c>
      <c r="AS41" s="4" t="e">
        <f>AL20+(AP38*AQ41)</f>
        <v>#N/A</v>
      </c>
      <c r="AT41" s="13"/>
      <c r="AV41">
        <v>31</v>
      </c>
      <c r="AW41">
        <f t="shared" si="24"/>
        <v>600.01711049147866</v>
      </c>
      <c r="AX41">
        <f t="shared" si="25"/>
        <v>360.52665243703791</v>
      </c>
      <c r="AZ41">
        <f t="shared" si="41"/>
        <v>600.01711049147866</v>
      </c>
      <c r="BA41">
        <f t="shared" si="27"/>
        <v>360.52665243703791</v>
      </c>
    </row>
    <row r="42" spans="2:53" ht="15.75" thickBot="1" x14ac:dyDescent="0.3">
      <c r="B42" t="str">
        <f>IF(Schachtanfrage!$E$28=135,"135° E1",IF(Schachtanfrage!$E$33=135,"135° E2",IF(Schachtanfrage!$E$38=135,"135° E3",IF(Schachtanfrage!$E$43=135,"135° E4",IF(Schachtanfrage!$K$28=135,"135° E5",IF(Schachtanfrage!$K$33=135,"135° E6",IF(Schachtanfrage!$K$38=135,"135° E7",IF(Schachtanfrage!$K$43=135,"135° E8","135°"))))))))</f>
        <v>135°</v>
      </c>
      <c r="D42">
        <v>0</v>
      </c>
      <c r="E42">
        <v>0</v>
      </c>
      <c r="I42">
        <v>32</v>
      </c>
      <c r="J42">
        <f t="shared" si="8"/>
        <v>424.02404807821296</v>
      </c>
      <c r="K42">
        <f t="shared" si="9"/>
        <v>264.95963211660245</v>
      </c>
      <c r="M42">
        <v>32</v>
      </c>
      <c r="N42">
        <f t="shared" si="10"/>
        <v>487.62765528994493</v>
      </c>
      <c r="O42">
        <f t="shared" si="11"/>
        <v>304.70357693409284</v>
      </c>
      <c r="Q42">
        <f t="shared" si="12"/>
        <v>158.97577926996146</v>
      </c>
      <c r="R42">
        <f t="shared" si="13"/>
        <v>254.41442884692779</v>
      </c>
      <c r="S42">
        <f t="shared" si="4"/>
        <v>10.975779269961464</v>
      </c>
      <c r="T42">
        <f t="shared" ref="T42:T74" si="55">R42+$T$8</f>
        <v>254.41442884692779</v>
      </c>
      <c r="V42">
        <f t="shared" si="14"/>
        <v>158.97577926996146</v>
      </c>
      <c r="W42">
        <f t="shared" si="15"/>
        <v>254.41442884692779</v>
      </c>
      <c r="X42">
        <f t="shared" si="16"/>
        <v>10.975779269961464</v>
      </c>
      <c r="Y42">
        <f t="shared" si="17"/>
        <v>254.41442884692779</v>
      </c>
      <c r="AA42">
        <v>32</v>
      </c>
      <c r="AB42">
        <f t="shared" si="18"/>
        <v>381.6216432703917</v>
      </c>
      <c r="AC42">
        <f t="shared" si="19"/>
        <v>238.46366890494221</v>
      </c>
      <c r="AD42">
        <v>32</v>
      </c>
      <c r="AE42">
        <f t="shared" si="20"/>
        <v>551.23126250167684</v>
      </c>
      <c r="AF42">
        <f t="shared" si="21"/>
        <v>344.44752175158317</v>
      </c>
      <c r="AJ42" s="28">
        <f>AJ37</f>
        <v>650</v>
      </c>
      <c r="AK42" s="28">
        <v>0</v>
      </c>
      <c r="AM42" s="481"/>
      <c r="AN42" s="10"/>
      <c r="AO42" s="10"/>
      <c r="AP42" s="10"/>
      <c r="AQ42" s="482"/>
      <c r="AR42" s="10" t="e">
        <f>AR38</f>
        <v>#N/A</v>
      </c>
      <c r="AS42" s="6" t="e">
        <f>AS38</f>
        <v>#N/A</v>
      </c>
      <c r="AT42" s="14"/>
      <c r="AV42">
        <v>32</v>
      </c>
      <c r="AW42">
        <f t="shared" si="24"/>
        <v>593.63366730949815</v>
      </c>
      <c r="AX42">
        <f t="shared" si="25"/>
        <v>370.94348496324341</v>
      </c>
      <c r="AZ42">
        <f t="shared" si="41"/>
        <v>593.63366730949815</v>
      </c>
      <c r="BA42">
        <f t="shared" si="27"/>
        <v>370.94348496324341</v>
      </c>
    </row>
    <row r="43" spans="2:53" x14ac:dyDescent="0.25">
      <c r="C43">
        <v>135</v>
      </c>
      <c r="D43">
        <f t="shared" ref="D43" si="56">COS(C43*PI()/180)*($N$8+200)</f>
        <v>-548.00775541957432</v>
      </c>
      <c r="E43">
        <f t="shared" ref="E43" si="57">SIN(C43*PI()/180)*($N$8+200)</f>
        <v>548.00775541957432</v>
      </c>
      <c r="I43">
        <v>33</v>
      </c>
      <c r="J43">
        <f t="shared" si="8"/>
        <v>419.33528397271203</v>
      </c>
      <c r="K43">
        <f t="shared" si="9"/>
        <v>272.31951750751352</v>
      </c>
      <c r="M43">
        <v>33</v>
      </c>
      <c r="N43">
        <f t="shared" si="10"/>
        <v>482.23557656861885</v>
      </c>
      <c r="O43">
        <f t="shared" si="11"/>
        <v>313.16744513364057</v>
      </c>
      <c r="Q43">
        <f t="shared" si="12"/>
        <v>163.39171050450813</v>
      </c>
      <c r="R43">
        <f t="shared" si="13"/>
        <v>251.60117038362722</v>
      </c>
      <c r="S43">
        <f t="shared" si="4"/>
        <v>15.391710504508126</v>
      </c>
      <c r="T43">
        <f t="shared" si="55"/>
        <v>251.60117038362722</v>
      </c>
      <c r="V43">
        <f t="shared" si="14"/>
        <v>163.39171050450813</v>
      </c>
      <c r="W43">
        <f t="shared" si="15"/>
        <v>251.60117038362722</v>
      </c>
      <c r="X43">
        <f t="shared" si="16"/>
        <v>15.391710504508126</v>
      </c>
      <c r="Y43">
        <f t="shared" si="17"/>
        <v>251.60117038362722</v>
      </c>
      <c r="AA43">
        <v>33</v>
      </c>
      <c r="AB43">
        <f t="shared" si="18"/>
        <v>377.4017555754408</v>
      </c>
      <c r="AC43">
        <f t="shared" si="19"/>
        <v>245.08756575676219</v>
      </c>
      <c r="AD43">
        <v>33</v>
      </c>
      <c r="AE43">
        <f t="shared" si="20"/>
        <v>545.13586916452562</v>
      </c>
      <c r="AF43">
        <f t="shared" si="21"/>
        <v>354.01537275976762</v>
      </c>
      <c r="AJ43" s="28">
        <f>AJ40</f>
        <v>450</v>
      </c>
      <c r="AK43" s="28">
        <v>0</v>
      </c>
      <c r="AM43" s="478">
        <f>IF(Tabelle3!AW4=TRUE,"",Schachtanfrage!K45/2)</f>
        <v>0</v>
      </c>
      <c r="AN43" s="8" t="e">
        <f>AI22-90</f>
        <v>#VALUE!</v>
      </c>
      <c r="AO43" s="8" t="e">
        <f>COS(RADIANS(AN43))*AM43</f>
        <v>#VALUE!</v>
      </c>
      <c r="AP43" s="8" t="e">
        <f>SIN(RADIANS(AN43))*AM43</f>
        <v>#VALUE!</v>
      </c>
      <c r="AQ43" s="479" t="e">
        <f>IF(AK22&lt;0,1,-1)</f>
        <v>#N/A</v>
      </c>
      <c r="AR43" s="8" t="e">
        <f>AK22+AO43*AQ43</f>
        <v>#N/A</v>
      </c>
      <c r="AS43" s="2" t="e">
        <f>AL22+AP43*AQ43</f>
        <v>#N/A</v>
      </c>
      <c r="AT43" s="12"/>
      <c r="AV43">
        <v>33</v>
      </c>
      <c r="AW43">
        <f t="shared" si="24"/>
        <v>587.06939756179679</v>
      </c>
      <c r="AX43">
        <f t="shared" si="25"/>
        <v>381.24732451051898</v>
      </c>
      <c r="AZ43">
        <f t="shared" si="41"/>
        <v>587.06939756179679</v>
      </c>
      <c r="BA43">
        <f t="shared" si="27"/>
        <v>381.24732451051898</v>
      </c>
    </row>
    <row r="44" spans="2:53" x14ac:dyDescent="0.25">
      <c r="I44">
        <v>34</v>
      </c>
      <c r="J44">
        <f t="shared" si="8"/>
        <v>414.5187862775208</v>
      </c>
      <c r="K44">
        <f t="shared" si="9"/>
        <v>279.59645173537348</v>
      </c>
      <c r="M44">
        <v>34</v>
      </c>
      <c r="N44">
        <f t="shared" si="10"/>
        <v>476.69660421914892</v>
      </c>
      <c r="O44">
        <f t="shared" si="11"/>
        <v>321.53591949567948</v>
      </c>
      <c r="Q44">
        <f t="shared" si="12"/>
        <v>167.75787104122406</v>
      </c>
      <c r="R44">
        <f t="shared" si="13"/>
        <v>248.71127176651248</v>
      </c>
      <c r="S44">
        <f t="shared" si="4"/>
        <v>19.757871041224064</v>
      </c>
      <c r="T44">
        <f t="shared" si="55"/>
        <v>248.71127176651248</v>
      </c>
      <c r="V44">
        <f t="shared" si="14"/>
        <v>167.75787104122406</v>
      </c>
      <c r="W44">
        <f t="shared" si="15"/>
        <v>248.71127176651248</v>
      </c>
      <c r="X44">
        <f t="shared" si="16"/>
        <v>19.757871041224064</v>
      </c>
      <c r="Y44">
        <f t="shared" si="17"/>
        <v>248.71127176651248</v>
      </c>
      <c r="AA44">
        <v>34</v>
      </c>
      <c r="AB44">
        <f t="shared" si="18"/>
        <v>373.06690764976872</v>
      </c>
      <c r="AC44">
        <f t="shared" si="19"/>
        <v>251.6368065618361</v>
      </c>
      <c r="AD44">
        <v>34</v>
      </c>
      <c r="AE44">
        <f t="shared" si="20"/>
        <v>538.87442216077704</v>
      </c>
      <c r="AF44">
        <f t="shared" si="21"/>
        <v>363.47538725598548</v>
      </c>
      <c r="AM44" s="480"/>
      <c r="AN44" s="9"/>
      <c r="AO44" s="9"/>
      <c r="AP44" s="9"/>
      <c r="AQ44" s="84" t="e">
        <f>IF(AK22&lt;=0,1,-1)</f>
        <v>#N/A</v>
      </c>
      <c r="AR44" s="9" t="e">
        <f>AK23+AO43*AQ44</f>
        <v>#N/A</v>
      </c>
      <c r="AS44" s="4" t="e">
        <f>AL23+AP43*AQ44</f>
        <v>#N/A</v>
      </c>
      <c r="AT44" s="13"/>
      <c r="AV44">
        <v>34</v>
      </c>
      <c r="AW44">
        <f t="shared" si="24"/>
        <v>580.32630078852912</v>
      </c>
      <c r="AX44">
        <f t="shared" si="25"/>
        <v>391.43503242952283</v>
      </c>
      <c r="AZ44">
        <f t="shared" si="41"/>
        <v>580.32630078852912</v>
      </c>
      <c r="BA44">
        <f t="shared" si="27"/>
        <v>391.43503242952283</v>
      </c>
    </row>
    <row r="45" spans="2:53" x14ac:dyDescent="0.25">
      <c r="B45" t="str">
        <f>IF(Schachtanfrage!$E$28=180,"180° E1",IF(Schachtanfrage!$E$33=180,"180° E2",IF(Schachtanfrage!$E$38=180,"180° E3",IF(Schachtanfrage!$E$43=180,"180° E4",IF(Schachtanfrage!$K$28=180,"180° E5",IF(Schachtanfrage!$K$33=180,"180° E6",IF(Schachtanfrage!$K$38=180,"180° E7",IF(Schachtanfrage!$K$43=180,"180° E8","180°"))))))))</f>
        <v>180°</v>
      </c>
      <c r="D45">
        <v>0</v>
      </c>
      <c r="E45">
        <v>0</v>
      </c>
      <c r="I45">
        <v>35</v>
      </c>
      <c r="J45">
        <f t="shared" si="8"/>
        <v>409.57602214449588</v>
      </c>
      <c r="K45">
        <f t="shared" si="9"/>
        <v>286.78821817552301</v>
      </c>
      <c r="M45">
        <v>35</v>
      </c>
      <c r="N45">
        <f t="shared" si="10"/>
        <v>471.01242546617027</v>
      </c>
      <c r="O45">
        <f t="shared" si="11"/>
        <v>329.80645090185146</v>
      </c>
      <c r="Q45">
        <f t="shared" si="12"/>
        <v>172.07293090531383</v>
      </c>
      <c r="R45">
        <f t="shared" si="13"/>
        <v>245.74561328669753</v>
      </c>
      <c r="S45">
        <f t="shared" si="4"/>
        <v>24.072930905313825</v>
      </c>
      <c r="T45">
        <f t="shared" si="55"/>
        <v>245.74561328669753</v>
      </c>
      <c r="V45">
        <f t="shared" si="14"/>
        <v>172.07293090531383</v>
      </c>
      <c r="W45">
        <f t="shared" si="15"/>
        <v>245.74561328669753</v>
      </c>
      <c r="X45">
        <f t="shared" si="16"/>
        <v>24.072930905313825</v>
      </c>
      <c r="Y45">
        <f t="shared" si="17"/>
        <v>245.74561328669753</v>
      </c>
      <c r="AA45">
        <v>35</v>
      </c>
      <c r="AB45">
        <f t="shared" si="18"/>
        <v>368.61841993004629</v>
      </c>
      <c r="AC45">
        <f t="shared" si="19"/>
        <v>258.1093963579707</v>
      </c>
      <c r="AD45">
        <v>35</v>
      </c>
      <c r="AE45">
        <f t="shared" si="20"/>
        <v>532.44882878784472</v>
      </c>
      <c r="AF45">
        <f t="shared" si="21"/>
        <v>372.82468362817991</v>
      </c>
      <c r="AI45" t="s">
        <v>1656</v>
      </c>
      <c r="AM45" s="480"/>
      <c r="AN45" s="9"/>
      <c r="AO45" s="9"/>
      <c r="AP45" s="9"/>
      <c r="AQ45" s="84" t="e">
        <f>IF(AK23&gt;0,1,-1)</f>
        <v>#N/A</v>
      </c>
      <c r="AR45" s="9" t="e">
        <f>AK23+(AO43*AQ45)</f>
        <v>#N/A</v>
      </c>
      <c r="AS45" s="4" t="e">
        <f>AL23+(AP43*AQ45)</f>
        <v>#N/A</v>
      </c>
      <c r="AT45" s="13" t="str">
        <f>("E"&amp;AH22)</f>
        <v>E8</v>
      </c>
      <c r="AV45">
        <v>35</v>
      </c>
      <c r="AW45">
        <f t="shared" si="24"/>
        <v>573.40643100229431</v>
      </c>
      <c r="AX45">
        <f t="shared" si="25"/>
        <v>401.50350544573223</v>
      </c>
      <c r="AZ45">
        <f t="shared" si="41"/>
        <v>573.40643100229431</v>
      </c>
      <c r="BA45">
        <f t="shared" si="27"/>
        <v>401.50350544573223</v>
      </c>
    </row>
    <row r="46" spans="2:53" x14ac:dyDescent="0.25">
      <c r="C46">
        <v>180</v>
      </c>
      <c r="D46">
        <f t="shared" ref="D46" si="58">COS(C46*PI()/180)*($N$8+200)</f>
        <v>-775</v>
      </c>
      <c r="E46">
        <f t="shared" ref="E46" si="59">SIN(C46*PI()/180)*($N$8+200)</f>
        <v>9.4949005255418051E-14</v>
      </c>
      <c r="I46">
        <v>36</v>
      </c>
      <c r="J46">
        <f t="shared" si="8"/>
        <v>404.50849718747372</v>
      </c>
      <c r="K46">
        <f t="shared" si="9"/>
        <v>293.89262614623658</v>
      </c>
      <c r="M46">
        <v>36</v>
      </c>
      <c r="N46">
        <f t="shared" si="10"/>
        <v>465.1847717655948</v>
      </c>
      <c r="O46">
        <f t="shared" si="11"/>
        <v>337.97652006817208</v>
      </c>
      <c r="Q46">
        <f t="shared" si="12"/>
        <v>176.33557568774194</v>
      </c>
      <c r="R46">
        <f t="shared" si="13"/>
        <v>242.70509831248424</v>
      </c>
      <c r="S46">
        <f t="shared" si="4"/>
        <v>28.335575687741937</v>
      </c>
      <c r="T46">
        <f t="shared" si="55"/>
        <v>242.70509831248424</v>
      </c>
      <c r="V46">
        <f t="shared" si="14"/>
        <v>176.33557568774194</v>
      </c>
      <c r="W46">
        <f t="shared" si="15"/>
        <v>242.70509831248424</v>
      </c>
      <c r="X46">
        <f t="shared" si="16"/>
        <v>28.335575687741937</v>
      </c>
      <c r="Y46">
        <f t="shared" si="17"/>
        <v>242.70509831248424</v>
      </c>
      <c r="AA46">
        <v>36</v>
      </c>
      <c r="AB46">
        <f t="shared" si="18"/>
        <v>364.05764746872637</v>
      </c>
      <c r="AC46">
        <f t="shared" si="19"/>
        <v>264.50336353161293</v>
      </c>
      <c r="AD46">
        <v>36</v>
      </c>
      <c r="AE46">
        <f t="shared" si="20"/>
        <v>525.86104634371588</v>
      </c>
      <c r="AF46">
        <f t="shared" si="21"/>
        <v>382.06041399010752</v>
      </c>
      <c r="AM46" s="480"/>
      <c r="AN46" s="9"/>
      <c r="AO46" s="9"/>
      <c r="AP46" s="9"/>
      <c r="AQ46" s="84" t="e">
        <f>IF(AK22&gt;0,1,-1)</f>
        <v>#N/A</v>
      </c>
      <c r="AR46" s="9" t="e">
        <f>AK22+(AO43*AQ46)</f>
        <v>#N/A</v>
      </c>
      <c r="AS46" s="4" t="e">
        <f>AL22+(AP43*AQ46)</f>
        <v>#N/A</v>
      </c>
      <c r="AT46" s="13"/>
      <c r="AV46">
        <v>36</v>
      </c>
      <c r="AW46">
        <f t="shared" si="24"/>
        <v>566.31189606246323</v>
      </c>
      <c r="AX46">
        <f t="shared" si="25"/>
        <v>411.44967660473122</v>
      </c>
      <c r="AZ46">
        <f t="shared" si="41"/>
        <v>566.31189606246323</v>
      </c>
      <c r="BA46">
        <f t="shared" si="27"/>
        <v>411.44967660473122</v>
      </c>
    </row>
    <row r="47" spans="2:53" ht="15.75" thickBot="1" x14ac:dyDescent="0.3">
      <c r="I47">
        <v>37</v>
      </c>
      <c r="J47">
        <f t="shared" si="8"/>
        <v>399.31775502364644</v>
      </c>
      <c r="K47">
        <f t="shared" si="9"/>
        <v>300.90751157602415</v>
      </c>
      <c r="M47">
        <v>37</v>
      </c>
      <c r="N47">
        <f t="shared" si="10"/>
        <v>459.21541827719335</v>
      </c>
      <c r="O47">
        <f t="shared" si="11"/>
        <v>346.04363831242773</v>
      </c>
      <c r="Q47">
        <f t="shared" si="12"/>
        <v>180.54450694561447</v>
      </c>
      <c r="R47">
        <f t="shared" si="13"/>
        <v>239.59065301418784</v>
      </c>
      <c r="S47">
        <f t="shared" si="4"/>
        <v>32.544506945614472</v>
      </c>
      <c r="T47">
        <f t="shared" si="55"/>
        <v>239.59065301418784</v>
      </c>
      <c r="V47">
        <f t="shared" si="14"/>
        <v>180.54450694561447</v>
      </c>
      <c r="W47">
        <f t="shared" si="15"/>
        <v>239.59065301418784</v>
      </c>
      <c r="X47">
        <f t="shared" si="16"/>
        <v>32.544506945614472</v>
      </c>
      <c r="Y47">
        <f t="shared" si="17"/>
        <v>239.59065301418784</v>
      </c>
      <c r="AA47">
        <v>37</v>
      </c>
      <c r="AB47">
        <f t="shared" si="18"/>
        <v>359.3859795212818</v>
      </c>
      <c r="AC47">
        <f t="shared" si="19"/>
        <v>270.81676041842172</v>
      </c>
      <c r="AD47">
        <v>37</v>
      </c>
      <c r="AE47">
        <f t="shared" si="20"/>
        <v>519.11308153074037</v>
      </c>
      <c r="AF47">
        <f t="shared" si="21"/>
        <v>391.17976504883137</v>
      </c>
      <c r="AJ47" t="s">
        <v>209</v>
      </c>
      <c r="AK47" t="s">
        <v>206</v>
      </c>
      <c r="AM47" s="481"/>
      <c r="AN47" s="10"/>
      <c r="AO47" s="10"/>
      <c r="AP47" s="10"/>
      <c r="AQ47" s="482"/>
      <c r="AR47" s="10" t="e">
        <f>AR43</f>
        <v>#N/A</v>
      </c>
      <c r="AS47" s="6" t="e">
        <f>AS43</f>
        <v>#N/A</v>
      </c>
      <c r="AT47" s="14"/>
      <c r="AV47">
        <v>37</v>
      </c>
      <c r="AW47">
        <f t="shared" si="24"/>
        <v>559.04485703310502</v>
      </c>
      <c r="AX47">
        <f t="shared" si="25"/>
        <v>421.2705162064338</v>
      </c>
      <c r="AZ47">
        <f t="shared" si="41"/>
        <v>559.04485703310502</v>
      </c>
      <c r="BA47">
        <f t="shared" si="27"/>
        <v>421.2705162064338</v>
      </c>
    </row>
    <row r="48" spans="2:53" x14ac:dyDescent="0.25">
      <c r="B48" t="str">
        <f>IF(Schachtanfrage!$E$28=225,"225° E1",IF(Schachtanfrage!$E$33=225,"225° E2",IF(Schachtanfrage!$E$38=225,"225° E3",IF(Schachtanfrage!$E$43=225,"225° E4",IF(Schachtanfrage!$K$28=225,"225° E5",IF(Schachtanfrage!$K$33=225,"225° E6",IF(Schachtanfrage!$K$38=225,"225° E7",IF(Schachtanfrage!$K$43=225,"225° E8","225°"))))))))</f>
        <v>225°</v>
      </c>
      <c r="D48">
        <v>0</v>
      </c>
      <c r="E48">
        <v>0</v>
      </c>
      <c r="I48">
        <v>38</v>
      </c>
      <c r="J48">
        <f t="shared" si="8"/>
        <v>394.005376803361</v>
      </c>
      <c r="K48">
        <f t="shared" si="9"/>
        <v>307.83073766282911</v>
      </c>
      <c r="M48">
        <v>38</v>
      </c>
      <c r="N48">
        <f t="shared" si="10"/>
        <v>453.10618332386514</v>
      </c>
      <c r="O48">
        <f t="shared" si="11"/>
        <v>354.00534831225343</v>
      </c>
      <c r="Q48">
        <f t="shared" si="12"/>
        <v>184.69844259769746</v>
      </c>
      <c r="R48">
        <f t="shared" si="13"/>
        <v>236.4032260820166</v>
      </c>
      <c r="S48">
        <f t="shared" si="4"/>
        <v>36.698442597697465</v>
      </c>
      <c r="T48">
        <f t="shared" si="55"/>
        <v>236.4032260820166</v>
      </c>
      <c r="V48">
        <f t="shared" si="14"/>
        <v>184.69844259769746</v>
      </c>
      <c r="W48">
        <f t="shared" si="15"/>
        <v>236.4032260820166</v>
      </c>
      <c r="X48">
        <f t="shared" si="16"/>
        <v>36.698442597697465</v>
      </c>
      <c r="Y48">
        <f t="shared" si="17"/>
        <v>236.4032260820166</v>
      </c>
      <c r="AA48">
        <v>38</v>
      </c>
      <c r="AB48">
        <f t="shared" si="18"/>
        <v>354.60483912302493</v>
      </c>
      <c r="AC48">
        <f t="shared" si="19"/>
        <v>277.04766389654617</v>
      </c>
      <c r="AD48">
        <v>38</v>
      </c>
      <c r="AE48">
        <f t="shared" si="20"/>
        <v>512.20698984436933</v>
      </c>
      <c r="AF48">
        <f t="shared" si="21"/>
        <v>400.17995896167781</v>
      </c>
      <c r="AJ48" s="28">
        <f>J23*1.2</f>
        <v>584.62203887114117</v>
      </c>
      <c r="AK48" s="28">
        <v>3</v>
      </c>
      <c r="AM48" s="478" t="e">
        <f>Schachtanfrage!E22/2</f>
        <v>#N/A</v>
      </c>
      <c r="AN48" s="8" t="e">
        <f>AI24-90</f>
        <v>#VALUE!</v>
      </c>
      <c r="AO48" s="8" t="e">
        <f>COS(RADIANS(AN48))*AM48</f>
        <v>#VALUE!</v>
      </c>
      <c r="AP48" s="8" t="e">
        <f>SIN(RADIANS(AN48))*AM48</f>
        <v>#VALUE!</v>
      </c>
      <c r="AQ48" s="479" t="e">
        <f>IF(AK24&lt;0,1,-1)</f>
        <v>#N/A</v>
      </c>
      <c r="AR48" s="8" t="e">
        <f>AK24+AO48*AQ48</f>
        <v>#N/A</v>
      </c>
      <c r="AS48" s="2" t="e">
        <f>AL24+AP48*AQ48</f>
        <v>#N/A</v>
      </c>
      <c r="AT48" s="12"/>
      <c r="AV48">
        <v>38</v>
      </c>
      <c r="AW48">
        <f t="shared" si="24"/>
        <v>551.60752752470546</v>
      </c>
      <c r="AX48">
        <f t="shared" si="25"/>
        <v>430.96303272796075</v>
      </c>
      <c r="AZ48">
        <f t="shared" si="41"/>
        <v>551.60752752470546</v>
      </c>
      <c r="BA48">
        <f t="shared" si="27"/>
        <v>430.96303272796075</v>
      </c>
    </row>
    <row r="49" spans="2:53" x14ac:dyDescent="0.25">
      <c r="C49">
        <v>225</v>
      </c>
      <c r="D49">
        <f t="shared" ref="D49" si="60">COS(C49*PI()/180)*($N$8+200)</f>
        <v>-548.00775541957444</v>
      </c>
      <c r="E49">
        <f t="shared" ref="E49" si="61">SIN(C49*PI()/180)*($N$8+200)</f>
        <v>-548.00775541957432</v>
      </c>
      <c r="I49">
        <v>39</v>
      </c>
      <c r="J49">
        <f t="shared" si="8"/>
        <v>388.57298072848545</v>
      </c>
      <c r="K49">
        <f t="shared" si="9"/>
        <v>314.66019552491872</v>
      </c>
      <c r="M49">
        <v>39</v>
      </c>
      <c r="N49">
        <f t="shared" si="10"/>
        <v>446.85892783775824</v>
      </c>
      <c r="O49">
        <f t="shared" si="11"/>
        <v>361.85922485365649</v>
      </c>
      <c r="Q49">
        <f t="shared" si="12"/>
        <v>188.7961173149512</v>
      </c>
      <c r="R49">
        <f t="shared" si="13"/>
        <v>233.14378843709127</v>
      </c>
      <c r="S49">
        <f t="shared" si="4"/>
        <v>40.796117314951204</v>
      </c>
      <c r="T49">
        <f t="shared" si="55"/>
        <v>233.14378843709127</v>
      </c>
      <c r="V49">
        <f t="shared" si="14"/>
        <v>188.7961173149512</v>
      </c>
      <c r="W49">
        <f t="shared" si="15"/>
        <v>233.14378843709127</v>
      </c>
      <c r="X49">
        <f t="shared" si="16"/>
        <v>40.796117314951204</v>
      </c>
      <c r="Y49">
        <f t="shared" si="17"/>
        <v>233.14378843709127</v>
      </c>
      <c r="AA49">
        <v>39</v>
      </c>
      <c r="AB49">
        <f t="shared" si="18"/>
        <v>349.7156826556369</v>
      </c>
      <c r="AC49">
        <f t="shared" si="19"/>
        <v>283.19417597242682</v>
      </c>
      <c r="AD49">
        <v>39</v>
      </c>
      <c r="AE49">
        <f t="shared" si="20"/>
        <v>505.1448749470311</v>
      </c>
      <c r="AF49">
        <f t="shared" si="21"/>
        <v>409.05825418239431</v>
      </c>
      <c r="AJ49" s="28">
        <v>32</v>
      </c>
      <c r="AK49" s="28">
        <f>AK48</f>
        <v>3</v>
      </c>
      <c r="AM49" s="480"/>
      <c r="AN49" s="9"/>
      <c r="AO49" s="9"/>
      <c r="AP49" s="9"/>
      <c r="AQ49" s="84" t="e">
        <f>IF(AK24&lt;=0,1,-1)</f>
        <v>#N/A</v>
      </c>
      <c r="AR49" s="9" t="e">
        <f>AK25+AO48*AQ49</f>
        <v>#N/A</v>
      </c>
      <c r="AS49" s="4" t="e">
        <f>AL25+AP48*AQ49</f>
        <v>#N/A</v>
      </c>
      <c r="AT49" s="13"/>
      <c r="AV49">
        <v>39</v>
      </c>
      <c r="AW49">
        <f t="shared" si="24"/>
        <v>544.00217301987959</v>
      </c>
      <c r="AX49">
        <f t="shared" si="25"/>
        <v>440.52427373488615</v>
      </c>
      <c r="AZ49">
        <f t="shared" si="41"/>
        <v>544.00217301987959</v>
      </c>
      <c r="BA49">
        <f t="shared" si="27"/>
        <v>440.52427373488615</v>
      </c>
    </row>
    <row r="50" spans="2:53" x14ac:dyDescent="0.25">
      <c r="I50">
        <v>40</v>
      </c>
      <c r="J50">
        <f t="shared" si="8"/>
        <v>383.02222155948903</v>
      </c>
      <c r="K50">
        <f t="shared" si="9"/>
        <v>321.39380484326961</v>
      </c>
      <c r="M50">
        <v>40</v>
      </c>
      <c r="N50">
        <f t="shared" si="10"/>
        <v>440.47555479341236</v>
      </c>
      <c r="O50">
        <f t="shared" si="11"/>
        <v>369.60287556976004</v>
      </c>
      <c r="Q50">
        <f t="shared" si="12"/>
        <v>192.83628290596178</v>
      </c>
      <c r="R50">
        <f t="shared" si="13"/>
        <v>229.81333293569341</v>
      </c>
      <c r="S50">
        <f t="shared" si="4"/>
        <v>44.836282905961781</v>
      </c>
      <c r="T50">
        <f t="shared" si="55"/>
        <v>229.81333293569341</v>
      </c>
      <c r="V50">
        <f t="shared" si="14"/>
        <v>192.83628290596178</v>
      </c>
      <c r="W50">
        <f t="shared" si="15"/>
        <v>229.81333293569341</v>
      </c>
      <c r="X50">
        <f t="shared" si="16"/>
        <v>44.836282905961781</v>
      </c>
      <c r="Y50">
        <f t="shared" si="17"/>
        <v>229.81333293569341</v>
      </c>
      <c r="AA50">
        <v>40</v>
      </c>
      <c r="AB50">
        <f t="shared" si="18"/>
        <v>344.7199994035401</v>
      </c>
      <c r="AC50">
        <f t="shared" si="19"/>
        <v>289.25442435894269</v>
      </c>
      <c r="AD50">
        <v>40</v>
      </c>
      <c r="AE50">
        <f t="shared" si="20"/>
        <v>497.92888802733569</v>
      </c>
      <c r="AF50">
        <f t="shared" si="21"/>
        <v>417.81194629625054</v>
      </c>
      <c r="AM50" s="480"/>
      <c r="AN50" s="9"/>
      <c r="AO50" s="9"/>
      <c r="AP50" s="9"/>
      <c r="AQ50" s="84" t="e">
        <f>IF(AK25&gt;0,1,-1)</f>
        <v>#N/A</v>
      </c>
      <c r="AR50" s="9" t="e">
        <f>AK25+(AO48*AQ50)</f>
        <v>#N/A</v>
      </c>
      <c r="AS50" s="4" t="e">
        <f>AL25+(AP48*AQ50)</f>
        <v>#N/A</v>
      </c>
      <c r="AT50" s="13" t="str">
        <f>AH24</f>
        <v>El Rohr</v>
      </c>
      <c r="AV50">
        <v>40</v>
      </c>
      <c r="AW50">
        <f t="shared" si="24"/>
        <v>536.23111018328461</v>
      </c>
      <c r="AX50">
        <f t="shared" si="25"/>
        <v>449.95132678057746</v>
      </c>
      <c r="AZ50">
        <f t="shared" si="41"/>
        <v>536.23111018328461</v>
      </c>
      <c r="BA50">
        <f t="shared" si="27"/>
        <v>449.95132678057746</v>
      </c>
    </row>
    <row r="51" spans="2:53" x14ac:dyDescent="0.25">
      <c r="B51" t="str">
        <f>IF(Schachtanfrage!$E$28=270,"270° E1",IF(Schachtanfrage!$E$33=270,"270° E2",IF(Schachtanfrage!$E$38=270,"270° E3",IF(Schachtanfrage!$E$43=270,"270° E4",IF(Schachtanfrage!$K$28=270,"270° E5",IF(Schachtanfrage!$K$33=270,"270° E6",IF(Schachtanfrage!$K$38=270,"270° E7",IF(Schachtanfrage!$K$43=270,"270° E8","270°"))))))))</f>
        <v>270°</v>
      </c>
      <c r="D51">
        <v>0</v>
      </c>
      <c r="E51">
        <v>0</v>
      </c>
      <c r="I51">
        <v>41</v>
      </c>
      <c r="J51">
        <f t="shared" si="8"/>
        <v>377.35479011138608</v>
      </c>
      <c r="K51">
        <f t="shared" si="9"/>
        <v>328.02951449525358</v>
      </c>
      <c r="M51">
        <v>41</v>
      </c>
      <c r="N51">
        <f t="shared" si="10"/>
        <v>433.95800862809398</v>
      </c>
      <c r="O51">
        <f t="shared" si="11"/>
        <v>377.23394166954159</v>
      </c>
      <c r="Q51">
        <f t="shared" si="12"/>
        <v>196.81770869715214</v>
      </c>
      <c r="R51">
        <f t="shared" si="13"/>
        <v>226.41287406683165</v>
      </c>
      <c r="S51">
        <f t="shared" si="4"/>
        <v>48.817708697152142</v>
      </c>
      <c r="T51">
        <f t="shared" si="55"/>
        <v>226.41287406683165</v>
      </c>
      <c r="V51">
        <f t="shared" si="14"/>
        <v>196.81770869715214</v>
      </c>
      <c r="W51">
        <f t="shared" si="15"/>
        <v>226.41287406683165</v>
      </c>
      <c r="X51">
        <f t="shared" si="16"/>
        <v>48.817708697152142</v>
      </c>
      <c r="Y51">
        <f t="shared" si="17"/>
        <v>226.41287406683165</v>
      </c>
      <c r="AA51">
        <v>41</v>
      </c>
      <c r="AB51">
        <f t="shared" si="18"/>
        <v>339.61931110024744</v>
      </c>
      <c r="AC51">
        <f t="shared" si="19"/>
        <v>295.2265630457282</v>
      </c>
      <c r="AD51">
        <v>41</v>
      </c>
      <c r="AE51">
        <f t="shared" si="20"/>
        <v>490.56122714480188</v>
      </c>
      <c r="AF51">
        <f t="shared" si="21"/>
        <v>426.43836884382966</v>
      </c>
      <c r="AJ51" s="28">
        <f>AJ48</f>
        <v>584.62203887114117</v>
      </c>
      <c r="AK51" s="28">
        <f>0-AK48</f>
        <v>-3</v>
      </c>
      <c r="AM51" s="480"/>
      <c r="AN51" s="9"/>
      <c r="AO51" s="9"/>
      <c r="AP51" s="9"/>
      <c r="AQ51" s="84" t="e">
        <f>IF(AK24&gt;0,1,-1)</f>
        <v>#N/A</v>
      </c>
      <c r="AR51" s="9" t="e">
        <f>AK24+(AO48*AQ51)</f>
        <v>#N/A</v>
      </c>
      <c r="AS51" s="4" t="e">
        <f>AL24+(AP48*AQ51)</f>
        <v>#N/A</v>
      </c>
      <c r="AT51" s="13"/>
      <c r="AV51">
        <v>41</v>
      </c>
      <c r="AW51">
        <f t="shared" si="24"/>
        <v>528.29670615594046</v>
      </c>
      <c r="AX51">
        <f t="shared" si="25"/>
        <v>459.24132029335499</v>
      </c>
      <c r="AZ51">
        <f t="shared" si="41"/>
        <v>528.29670615594046</v>
      </c>
      <c r="BA51">
        <f t="shared" si="27"/>
        <v>459.24132029335499</v>
      </c>
    </row>
    <row r="52" spans="2:53" ht="15.75" thickBot="1" x14ac:dyDescent="0.3">
      <c r="C52">
        <v>270</v>
      </c>
      <c r="D52">
        <f t="shared" ref="D52" si="62">COS(C52*PI()/180)*($N$8+200)</f>
        <v>-1.4242350788312708E-13</v>
      </c>
      <c r="E52">
        <f t="shared" ref="E52" si="63">SIN(C52*PI()/180)*($N$8+200)</f>
        <v>-775</v>
      </c>
      <c r="I52">
        <v>42</v>
      </c>
      <c r="J52">
        <f t="shared" si="8"/>
        <v>371.5724127386971</v>
      </c>
      <c r="K52">
        <f t="shared" si="9"/>
        <v>334.56530317942912</v>
      </c>
      <c r="M52">
        <v>42</v>
      </c>
      <c r="N52">
        <f t="shared" si="10"/>
        <v>427.3082746495017</v>
      </c>
      <c r="O52">
        <f t="shared" si="11"/>
        <v>384.75009865634348</v>
      </c>
      <c r="Q52">
        <f t="shared" si="12"/>
        <v>200.73918190765747</v>
      </c>
      <c r="R52">
        <f t="shared" si="13"/>
        <v>222.94344764321826</v>
      </c>
      <c r="S52">
        <f t="shared" si="4"/>
        <v>52.739181907657468</v>
      </c>
      <c r="T52">
        <f t="shared" si="55"/>
        <v>222.94344764321826</v>
      </c>
      <c r="V52">
        <f t="shared" si="14"/>
        <v>200.73918190765747</v>
      </c>
      <c r="W52">
        <f t="shared" si="15"/>
        <v>222.94344764321826</v>
      </c>
      <c r="X52">
        <f t="shared" si="16"/>
        <v>52.739181907657468</v>
      </c>
      <c r="Y52">
        <f t="shared" si="17"/>
        <v>222.94344764321826</v>
      </c>
      <c r="AA52">
        <v>42</v>
      </c>
      <c r="AB52">
        <f t="shared" si="18"/>
        <v>334.41517146482744</v>
      </c>
      <c r="AC52">
        <f t="shared" si="19"/>
        <v>301.10877286148622</v>
      </c>
      <c r="AD52">
        <v>42</v>
      </c>
      <c r="AE52">
        <f t="shared" si="20"/>
        <v>483.04413656030624</v>
      </c>
      <c r="AF52">
        <f t="shared" si="21"/>
        <v>434.93489413325784</v>
      </c>
      <c r="AJ52" s="28">
        <f>AJ49</f>
        <v>32</v>
      </c>
      <c r="AK52" s="28">
        <f>AK51</f>
        <v>-3</v>
      </c>
      <c r="AM52" s="481"/>
      <c r="AN52" s="10"/>
      <c r="AO52" s="10"/>
      <c r="AP52" s="10"/>
      <c r="AQ52" s="482"/>
      <c r="AR52" s="10" t="e">
        <f>AR48</f>
        <v>#N/A</v>
      </c>
      <c r="AS52" s="6" t="e">
        <f>AS48</f>
        <v>#N/A</v>
      </c>
      <c r="AT52" s="14"/>
      <c r="AV52">
        <v>42</v>
      </c>
      <c r="AW52">
        <f t="shared" si="24"/>
        <v>520.20137783417601</v>
      </c>
      <c r="AX52">
        <f t="shared" si="25"/>
        <v>468.39142445120075</v>
      </c>
      <c r="AZ52">
        <f t="shared" si="41"/>
        <v>520.20137783417601</v>
      </c>
      <c r="BA52">
        <f t="shared" si="27"/>
        <v>468.39142445120075</v>
      </c>
    </row>
    <row r="53" spans="2:53" x14ac:dyDescent="0.25">
      <c r="I53">
        <v>43</v>
      </c>
      <c r="J53">
        <f t="shared" si="8"/>
        <v>365.67685080958529</v>
      </c>
      <c r="K53">
        <f t="shared" si="9"/>
        <v>340.99918003124924</v>
      </c>
      <c r="M53">
        <v>43</v>
      </c>
      <c r="N53">
        <f t="shared" si="10"/>
        <v>420.5283784310231</v>
      </c>
      <c r="O53">
        <f t="shared" si="11"/>
        <v>392.14905703593661</v>
      </c>
      <c r="Q53">
        <f t="shared" si="12"/>
        <v>204.59950801874953</v>
      </c>
      <c r="R53">
        <f t="shared" si="13"/>
        <v>219.40611048575119</v>
      </c>
      <c r="S53">
        <f t="shared" si="4"/>
        <v>56.599508018749532</v>
      </c>
      <c r="T53">
        <f t="shared" si="55"/>
        <v>219.40611048575119</v>
      </c>
      <c r="V53">
        <f t="shared" si="14"/>
        <v>204.59950801874953</v>
      </c>
      <c r="W53">
        <f t="shared" si="15"/>
        <v>219.40611048575119</v>
      </c>
      <c r="X53">
        <f t="shared" si="16"/>
        <v>56.599508018749532</v>
      </c>
      <c r="Y53">
        <f t="shared" si="17"/>
        <v>219.40611048575119</v>
      </c>
      <c r="AA53">
        <v>43</v>
      </c>
      <c r="AB53">
        <f t="shared" si="18"/>
        <v>329.10916572862675</v>
      </c>
      <c r="AC53">
        <f t="shared" si="19"/>
        <v>306.89926202812433</v>
      </c>
      <c r="AD53">
        <v>43</v>
      </c>
      <c r="AE53">
        <f t="shared" si="20"/>
        <v>475.37990605246085</v>
      </c>
      <c r="AF53">
        <f t="shared" si="21"/>
        <v>443.29893404062403</v>
      </c>
      <c r="AV53">
        <v>43</v>
      </c>
      <c r="AW53">
        <f t="shared" si="24"/>
        <v>511.94759113341939</v>
      </c>
      <c r="AX53">
        <f t="shared" si="25"/>
        <v>477.39885204374895</v>
      </c>
      <c r="AZ53">
        <f t="shared" si="41"/>
        <v>511.94759113341939</v>
      </c>
      <c r="BA53">
        <f t="shared" si="27"/>
        <v>477.39885204374895</v>
      </c>
    </row>
    <row r="54" spans="2:53" x14ac:dyDescent="0.25">
      <c r="B54" t="str">
        <f>IF(Schachtanfrage!$E$28=315,"315° E1",IF(Schachtanfrage!$E$33=315,"315° E2",IF(Schachtanfrage!$E$38=315,"315° E3",IF(Schachtanfrage!$E$43=315,"315° E4",IF(Schachtanfrage!$K$28=315,"315° E5",IF(Schachtanfrage!$K$33=315,"315° E6",IF(Schachtanfrage!$K$38=315,"315° E7",IF(Schachtanfrage!$K$43=315,"315° E8","315°"))))))))</f>
        <v>315°</v>
      </c>
      <c r="D54">
        <v>0</v>
      </c>
      <c r="E54">
        <v>0</v>
      </c>
      <c r="I54">
        <v>44</v>
      </c>
      <c r="J54">
        <f t="shared" si="8"/>
        <v>359.66990016932562</v>
      </c>
      <c r="K54">
        <f t="shared" si="9"/>
        <v>347.32918522949865</v>
      </c>
      <c r="M54">
        <v>44</v>
      </c>
      <c r="N54">
        <f t="shared" si="10"/>
        <v>413.62038519472446</v>
      </c>
      <c r="O54">
        <f t="shared" si="11"/>
        <v>399.42856301392339</v>
      </c>
      <c r="Q54">
        <f t="shared" si="12"/>
        <v>208.39751113769918</v>
      </c>
      <c r="R54">
        <f t="shared" si="13"/>
        <v>215.80194010159536</v>
      </c>
      <c r="S54">
        <f t="shared" si="4"/>
        <v>60.397511137699183</v>
      </c>
      <c r="T54">
        <f t="shared" si="55"/>
        <v>215.80194010159536</v>
      </c>
      <c r="V54">
        <f t="shared" si="14"/>
        <v>208.39751113769918</v>
      </c>
      <c r="W54">
        <f t="shared" si="15"/>
        <v>215.80194010159536</v>
      </c>
      <c r="X54">
        <f t="shared" si="16"/>
        <v>60.397511137699183</v>
      </c>
      <c r="Y54">
        <f t="shared" si="17"/>
        <v>215.80194010159536</v>
      </c>
      <c r="AA54">
        <v>44</v>
      </c>
      <c r="AB54">
        <f t="shared" si="18"/>
        <v>323.70291015239303</v>
      </c>
      <c r="AC54">
        <f t="shared" si="19"/>
        <v>312.59626670654876</v>
      </c>
      <c r="AD54">
        <v>44</v>
      </c>
      <c r="AE54">
        <f t="shared" si="20"/>
        <v>467.57087022012325</v>
      </c>
      <c r="AF54">
        <f t="shared" si="21"/>
        <v>451.5279407983482</v>
      </c>
      <c r="AJ54" s="28">
        <f>AJ48</f>
        <v>584.62203887114117</v>
      </c>
      <c r="AK54" s="28">
        <f>AK48</f>
        <v>3</v>
      </c>
      <c r="AV54">
        <v>44</v>
      </c>
      <c r="AW54">
        <f t="shared" si="24"/>
        <v>503.53786023705584</v>
      </c>
      <c r="AX54">
        <f t="shared" si="25"/>
        <v>486.26085932129808</v>
      </c>
      <c r="AZ54">
        <f t="shared" si="41"/>
        <v>503.53786023705584</v>
      </c>
      <c r="BA54">
        <f t="shared" si="27"/>
        <v>486.26085932129808</v>
      </c>
    </row>
    <row r="55" spans="2:53" x14ac:dyDescent="0.25">
      <c r="C55">
        <v>315</v>
      </c>
      <c r="D55">
        <f t="shared" ref="D55" si="64">COS(C55*PI()/180)*($N$8+200)</f>
        <v>548.00775541957421</v>
      </c>
      <c r="E55">
        <f t="shared" ref="E55" si="65">SIN(C55*PI()/180)*($N$8+200)</f>
        <v>-548.00775541957444</v>
      </c>
      <c r="I55">
        <v>45</v>
      </c>
      <c r="J55">
        <f t="shared" si="8"/>
        <v>353.55339059327378</v>
      </c>
      <c r="K55">
        <f t="shared" si="9"/>
        <v>353.55339059327372</v>
      </c>
      <c r="M55">
        <v>45</v>
      </c>
      <c r="N55">
        <f t="shared" si="10"/>
        <v>406.58639918226487</v>
      </c>
      <c r="O55">
        <f t="shared" si="11"/>
        <v>406.58639918226481</v>
      </c>
      <c r="Q55">
        <f t="shared" si="12"/>
        <v>212.13203435596424</v>
      </c>
      <c r="R55">
        <f t="shared" si="13"/>
        <v>212.13203435596427</v>
      </c>
      <c r="S55">
        <f t="shared" si="4"/>
        <v>64.132034355964237</v>
      </c>
      <c r="T55">
        <f t="shared" si="55"/>
        <v>212.13203435596427</v>
      </c>
      <c r="V55">
        <f t="shared" si="14"/>
        <v>212.13203435596424</v>
      </c>
      <c r="W55">
        <f t="shared" si="15"/>
        <v>212.13203435596427</v>
      </c>
      <c r="X55">
        <f t="shared" si="16"/>
        <v>64.132034355964237</v>
      </c>
      <c r="Y55">
        <f t="shared" si="17"/>
        <v>212.13203435596427</v>
      </c>
      <c r="AA55">
        <v>45</v>
      </c>
      <c r="AB55">
        <f t="shared" si="18"/>
        <v>318.1980515339464</v>
      </c>
      <c r="AC55">
        <f t="shared" si="19"/>
        <v>318.19805153394634</v>
      </c>
      <c r="AD55">
        <v>45</v>
      </c>
      <c r="AE55">
        <f t="shared" si="20"/>
        <v>459.61940777125591</v>
      </c>
      <c r="AF55">
        <f t="shared" si="21"/>
        <v>459.61940777125585</v>
      </c>
      <c r="AJ55" s="28">
        <f>AJ48</f>
        <v>584.62203887114117</v>
      </c>
      <c r="AK55" s="28">
        <f>AK51</f>
        <v>-3</v>
      </c>
      <c r="AV55">
        <v>45</v>
      </c>
      <c r="AW55">
        <f t="shared" si="24"/>
        <v>494.97474683058329</v>
      </c>
      <c r="AX55">
        <f t="shared" si="25"/>
        <v>494.97474683058323</v>
      </c>
      <c r="AZ55">
        <f t="shared" si="41"/>
        <v>494.97474683058329</v>
      </c>
      <c r="BA55">
        <f t="shared" si="27"/>
        <v>494.97474683058323</v>
      </c>
    </row>
    <row r="56" spans="2:53" x14ac:dyDescent="0.25">
      <c r="I56">
        <v>46</v>
      </c>
      <c r="J56">
        <f t="shared" si="8"/>
        <v>347.32918522949871</v>
      </c>
      <c r="K56">
        <f t="shared" si="9"/>
        <v>359.66990016932556</v>
      </c>
      <c r="M56">
        <v>46</v>
      </c>
      <c r="N56">
        <f t="shared" si="10"/>
        <v>399.42856301392351</v>
      </c>
      <c r="O56">
        <f t="shared" si="11"/>
        <v>413.62038519472435</v>
      </c>
      <c r="Q56">
        <f t="shared" si="12"/>
        <v>215.80194010159533</v>
      </c>
      <c r="R56">
        <f t="shared" si="13"/>
        <v>208.39751113769921</v>
      </c>
      <c r="S56">
        <f t="shared" si="4"/>
        <v>67.801940101595335</v>
      </c>
      <c r="T56">
        <f t="shared" si="55"/>
        <v>208.39751113769921</v>
      </c>
      <c r="V56">
        <f t="shared" si="14"/>
        <v>215.80194010159533</v>
      </c>
      <c r="W56">
        <f t="shared" si="15"/>
        <v>208.39751113769921</v>
      </c>
      <c r="X56">
        <f t="shared" si="16"/>
        <v>67.801940101595335</v>
      </c>
      <c r="Y56">
        <f t="shared" si="17"/>
        <v>208.39751113769921</v>
      </c>
      <c r="AA56">
        <v>46</v>
      </c>
      <c r="AB56">
        <f t="shared" si="18"/>
        <v>312.59626670654882</v>
      </c>
      <c r="AC56">
        <f t="shared" si="19"/>
        <v>323.70291015239297</v>
      </c>
      <c r="AD56">
        <v>46</v>
      </c>
      <c r="AE56">
        <f t="shared" si="20"/>
        <v>451.52794079834831</v>
      </c>
      <c r="AF56">
        <f t="shared" si="21"/>
        <v>467.5708702201232</v>
      </c>
      <c r="AV56">
        <v>46</v>
      </c>
      <c r="AW56">
        <f t="shared" si="24"/>
        <v>486.26085932129814</v>
      </c>
      <c r="AX56">
        <f t="shared" si="25"/>
        <v>503.53786023705578</v>
      </c>
      <c r="AZ56">
        <f t="shared" si="41"/>
        <v>494.97474683058329</v>
      </c>
      <c r="BA56">
        <f t="shared" si="27"/>
        <v>494.97474683058323</v>
      </c>
    </row>
    <row r="57" spans="2:53" x14ac:dyDescent="0.25">
      <c r="I57">
        <v>47</v>
      </c>
      <c r="J57">
        <f t="shared" si="8"/>
        <v>340.99918003124924</v>
      </c>
      <c r="K57">
        <f t="shared" si="9"/>
        <v>365.67685080958523</v>
      </c>
      <c r="M57">
        <v>47</v>
      </c>
      <c r="N57">
        <f t="shared" si="10"/>
        <v>392.14905703593661</v>
      </c>
      <c r="O57">
        <f t="shared" si="11"/>
        <v>420.52837843102299</v>
      </c>
      <c r="Q57">
        <f t="shared" si="12"/>
        <v>219.40611048575113</v>
      </c>
      <c r="R57">
        <f t="shared" si="13"/>
        <v>204.59950801874953</v>
      </c>
      <c r="S57">
        <f t="shared" si="4"/>
        <v>71.406110485751128</v>
      </c>
      <c r="T57">
        <f t="shared" si="55"/>
        <v>204.59950801874953</v>
      </c>
      <c r="V57">
        <f t="shared" si="14"/>
        <v>219.40611048575113</v>
      </c>
      <c r="W57">
        <f t="shared" si="15"/>
        <v>204.59950801874953</v>
      </c>
      <c r="X57">
        <f t="shared" si="16"/>
        <v>71.406110485751128</v>
      </c>
      <c r="Y57">
        <f t="shared" si="17"/>
        <v>204.59950801874953</v>
      </c>
      <c r="AA57">
        <v>47</v>
      </c>
      <c r="AB57">
        <f t="shared" si="18"/>
        <v>306.89926202812433</v>
      </c>
      <c r="AC57">
        <f t="shared" si="19"/>
        <v>329.10916572862669</v>
      </c>
      <c r="AD57">
        <v>47</v>
      </c>
      <c r="AE57">
        <f t="shared" si="20"/>
        <v>443.29893404062403</v>
      </c>
      <c r="AF57">
        <f t="shared" si="21"/>
        <v>475.3799060524608</v>
      </c>
      <c r="AJ57" s="28">
        <f>AJ52</f>
        <v>32</v>
      </c>
      <c r="AK57" s="28">
        <f>AK54</f>
        <v>3</v>
      </c>
      <c r="AV57">
        <v>47</v>
      </c>
      <c r="AW57">
        <f t="shared" si="24"/>
        <v>477.39885204374895</v>
      </c>
      <c r="AX57">
        <f t="shared" si="25"/>
        <v>511.94759113341934</v>
      </c>
      <c r="AZ57">
        <f t="shared" si="41"/>
        <v>494.97474683058329</v>
      </c>
      <c r="BA57">
        <f t="shared" si="27"/>
        <v>494.97474683058323</v>
      </c>
    </row>
    <row r="58" spans="2:53" x14ac:dyDescent="0.25">
      <c r="I58">
        <v>48</v>
      </c>
      <c r="J58">
        <f t="shared" si="8"/>
        <v>334.56530317942912</v>
      </c>
      <c r="K58">
        <f t="shared" si="9"/>
        <v>371.57241273869704</v>
      </c>
      <c r="M58">
        <v>48</v>
      </c>
      <c r="N58">
        <f t="shared" si="10"/>
        <v>384.75009865634348</v>
      </c>
      <c r="O58">
        <f t="shared" si="11"/>
        <v>427.30827464950164</v>
      </c>
      <c r="Q58">
        <f t="shared" si="12"/>
        <v>222.94344764321824</v>
      </c>
      <c r="R58">
        <f t="shared" si="13"/>
        <v>200.73918190765747</v>
      </c>
      <c r="S58">
        <f t="shared" si="4"/>
        <v>74.943447643218235</v>
      </c>
      <c r="T58">
        <f t="shared" si="55"/>
        <v>200.73918190765747</v>
      </c>
      <c r="V58">
        <f t="shared" si="14"/>
        <v>222.94344764321824</v>
      </c>
      <c r="W58">
        <f t="shared" si="15"/>
        <v>200.73918190765747</v>
      </c>
      <c r="X58">
        <f t="shared" si="16"/>
        <v>74.943447643218235</v>
      </c>
      <c r="Y58">
        <f t="shared" si="17"/>
        <v>200.73918190765747</v>
      </c>
      <c r="AA58">
        <v>48</v>
      </c>
      <c r="AB58">
        <f t="shared" si="18"/>
        <v>301.10877286148622</v>
      </c>
      <c r="AC58">
        <f t="shared" si="19"/>
        <v>334.41517146482738</v>
      </c>
      <c r="AD58">
        <v>48</v>
      </c>
      <c r="AE58">
        <f t="shared" si="20"/>
        <v>434.93489413325784</v>
      </c>
      <c r="AF58">
        <f t="shared" si="21"/>
        <v>483.04413656030619</v>
      </c>
      <c r="AJ58" s="28">
        <f>AJ52</f>
        <v>32</v>
      </c>
      <c r="AK58" s="28">
        <f>AK55</f>
        <v>-3</v>
      </c>
      <c r="AV58">
        <v>48</v>
      </c>
      <c r="AW58">
        <f t="shared" si="24"/>
        <v>468.39142445120075</v>
      </c>
      <c r="AX58">
        <f t="shared" si="25"/>
        <v>520.2013778341759</v>
      </c>
      <c r="AZ58">
        <f t="shared" si="41"/>
        <v>494.97474683058329</v>
      </c>
      <c r="BA58">
        <f t="shared" si="27"/>
        <v>494.97474683058323</v>
      </c>
    </row>
    <row r="59" spans="2:53" x14ac:dyDescent="0.25">
      <c r="I59">
        <v>49</v>
      </c>
      <c r="J59">
        <f t="shared" si="8"/>
        <v>328.02951449525364</v>
      </c>
      <c r="K59">
        <f t="shared" si="9"/>
        <v>377.35479011138602</v>
      </c>
      <c r="M59">
        <v>49</v>
      </c>
      <c r="N59">
        <f t="shared" si="10"/>
        <v>377.23394166954171</v>
      </c>
      <c r="O59">
        <f t="shared" si="11"/>
        <v>433.95800862809392</v>
      </c>
      <c r="Q59">
        <f t="shared" si="12"/>
        <v>226.41287406683159</v>
      </c>
      <c r="R59">
        <f t="shared" si="13"/>
        <v>196.81770869715217</v>
      </c>
      <c r="S59">
        <f t="shared" si="4"/>
        <v>78.412874066831591</v>
      </c>
      <c r="T59">
        <f t="shared" si="55"/>
        <v>196.81770869715217</v>
      </c>
      <c r="V59">
        <f t="shared" si="14"/>
        <v>226.41287406683159</v>
      </c>
      <c r="W59">
        <f t="shared" si="15"/>
        <v>196.81770869715217</v>
      </c>
      <c r="X59">
        <f t="shared" si="16"/>
        <v>78.412874066831591</v>
      </c>
      <c r="Y59">
        <f t="shared" si="17"/>
        <v>196.81770869715217</v>
      </c>
      <c r="AA59">
        <v>49</v>
      </c>
      <c r="AB59">
        <f t="shared" si="18"/>
        <v>295.22656304572826</v>
      </c>
      <c r="AC59">
        <f t="shared" si="19"/>
        <v>339.61931110024739</v>
      </c>
      <c r="AD59">
        <v>49</v>
      </c>
      <c r="AE59">
        <f t="shared" si="20"/>
        <v>426.43836884382972</v>
      </c>
      <c r="AF59">
        <f t="shared" si="21"/>
        <v>490.56122714480182</v>
      </c>
      <c r="AV59">
        <v>49</v>
      </c>
      <c r="AW59">
        <f t="shared" si="24"/>
        <v>459.2413202933551</v>
      </c>
      <c r="AX59">
        <f t="shared" si="25"/>
        <v>528.29670615594046</v>
      </c>
      <c r="AZ59">
        <f t="shared" si="41"/>
        <v>494.97474683058329</v>
      </c>
      <c r="BA59">
        <f t="shared" si="27"/>
        <v>494.97474683058323</v>
      </c>
    </row>
    <row r="60" spans="2:53" x14ac:dyDescent="0.25">
      <c r="I60">
        <v>50</v>
      </c>
      <c r="J60">
        <f t="shared" si="8"/>
        <v>321.39380484326966</v>
      </c>
      <c r="K60">
        <f t="shared" si="9"/>
        <v>383.02222155948903</v>
      </c>
      <c r="M60">
        <v>50</v>
      </c>
      <c r="N60">
        <f t="shared" si="10"/>
        <v>369.60287556976016</v>
      </c>
      <c r="O60">
        <f t="shared" si="11"/>
        <v>440.47555479341236</v>
      </c>
      <c r="Q60">
        <f t="shared" si="12"/>
        <v>229.81333293569341</v>
      </c>
      <c r="R60">
        <f t="shared" si="13"/>
        <v>192.83628290596181</v>
      </c>
      <c r="S60">
        <f t="shared" si="4"/>
        <v>81.81333293569341</v>
      </c>
      <c r="T60">
        <f t="shared" si="55"/>
        <v>192.83628290596181</v>
      </c>
      <c r="V60">
        <f t="shared" si="14"/>
        <v>229.81333293569341</v>
      </c>
      <c r="W60">
        <f t="shared" si="15"/>
        <v>192.83628290596181</v>
      </c>
      <c r="X60">
        <f t="shared" si="16"/>
        <v>81.81333293569341</v>
      </c>
      <c r="Y60">
        <f t="shared" si="17"/>
        <v>192.83628290596181</v>
      </c>
      <c r="AA60">
        <v>50</v>
      </c>
      <c r="AB60">
        <f t="shared" si="18"/>
        <v>289.25442435894269</v>
      </c>
      <c r="AC60">
        <f t="shared" si="19"/>
        <v>344.7199994035401</v>
      </c>
      <c r="AD60">
        <v>50</v>
      </c>
      <c r="AE60">
        <f t="shared" si="20"/>
        <v>417.8119462962506</v>
      </c>
      <c r="AF60">
        <f t="shared" si="21"/>
        <v>497.92888802733569</v>
      </c>
      <c r="AV60">
        <v>50</v>
      </c>
      <c r="AW60">
        <f t="shared" si="24"/>
        <v>449.95132678057757</v>
      </c>
      <c r="AX60">
        <f t="shared" si="25"/>
        <v>536.23111018328461</v>
      </c>
      <c r="AZ60">
        <f t="shared" si="41"/>
        <v>494.97474683058329</v>
      </c>
      <c r="BA60">
        <f t="shared" si="27"/>
        <v>494.97474683058323</v>
      </c>
    </row>
    <row r="61" spans="2:53" x14ac:dyDescent="0.25">
      <c r="I61">
        <v>51</v>
      </c>
      <c r="J61">
        <f t="shared" si="8"/>
        <v>314.66019552491878</v>
      </c>
      <c r="K61">
        <f t="shared" si="9"/>
        <v>388.57298072848539</v>
      </c>
      <c r="M61">
        <v>51</v>
      </c>
      <c r="N61">
        <f t="shared" si="10"/>
        <v>361.85922485365654</v>
      </c>
      <c r="O61">
        <f t="shared" si="11"/>
        <v>446.85892783775819</v>
      </c>
      <c r="Q61">
        <f t="shared" si="12"/>
        <v>233.14378843709125</v>
      </c>
      <c r="R61">
        <f t="shared" si="13"/>
        <v>188.79611731495126</v>
      </c>
      <c r="S61">
        <f t="shared" si="4"/>
        <v>85.143788437091246</v>
      </c>
      <c r="T61">
        <f t="shared" si="55"/>
        <v>188.79611731495126</v>
      </c>
      <c r="V61">
        <f t="shared" si="14"/>
        <v>233.14378843709125</v>
      </c>
      <c r="W61">
        <f t="shared" si="15"/>
        <v>188.79611731495126</v>
      </c>
      <c r="X61">
        <f t="shared" si="16"/>
        <v>85.143788437091246</v>
      </c>
      <c r="Y61">
        <f t="shared" si="17"/>
        <v>188.79611731495126</v>
      </c>
      <c r="AA61">
        <v>51</v>
      </c>
      <c r="AB61">
        <f t="shared" si="18"/>
        <v>283.19417597242688</v>
      </c>
      <c r="AC61">
        <f t="shared" si="19"/>
        <v>349.71568265563684</v>
      </c>
      <c r="AD61">
        <v>51</v>
      </c>
      <c r="AE61">
        <f t="shared" si="20"/>
        <v>409.05825418239436</v>
      </c>
      <c r="AF61">
        <f t="shared" si="21"/>
        <v>505.14487494703104</v>
      </c>
      <c r="AV61">
        <v>51</v>
      </c>
      <c r="AW61">
        <f t="shared" si="24"/>
        <v>440.52427373488626</v>
      </c>
      <c r="AX61">
        <f t="shared" si="25"/>
        <v>544.00217301987959</v>
      </c>
      <c r="AZ61">
        <f t="shared" si="41"/>
        <v>494.97474683058329</v>
      </c>
      <c r="BA61">
        <f t="shared" si="27"/>
        <v>494.97474683058323</v>
      </c>
    </row>
    <row r="62" spans="2:53" x14ac:dyDescent="0.25">
      <c r="I62">
        <v>52</v>
      </c>
      <c r="J62">
        <f t="shared" si="8"/>
        <v>307.83073766282916</v>
      </c>
      <c r="K62">
        <f t="shared" si="9"/>
        <v>394.005376803361</v>
      </c>
      <c r="M62">
        <v>52</v>
      </c>
      <c r="N62">
        <f t="shared" si="10"/>
        <v>354.00534831225355</v>
      </c>
      <c r="O62">
        <f t="shared" si="11"/>
        <v>453.10618332386514</v>
      </c>
      <c r="Q62">
        <f t="shared" si="12"/>
        <v>236.4032260820166</v>
      </c>
      <c r="R62">
        <f t="shared" si="13"/>
        <v>184.69844259769749</v>
      </c>
      <c r="S62">
        <f t="shared" si="4"/>
        <v>88.403226082016602</v>
      </c>
      <c r="T62">
        <f t="shared" si="55"/>
        <v>184.69844259769749</v>
      </c>
      <c r="V62">
        <f t="shared" si="14"/>
        <v>236.4032260820166</v>
      </c>
      <c r="W62">
        <f t="shared" si="15"/>
        <v>184.69844259769749</v>
      </c>
      <c r="X62">
        <f t="shared" si="16"/>
        <v>88.403226082016602</v>
      </c>
      <c r="Y62">
        <f t="shared" si="17"/>
        <v>184.69844259769749</v>
      </c>
      <c r="AA62">
        <v>52</v>
      </c>
      <c r="AB62">
        <f t="shared" si="18"/>
        <v>277.04766389654623</v>
      </c>
      <c r="AC62">
        <f t="shared" si="19"/>
        <v>354.60483912302493</v>
      </c>
      <c r="AD62">
        <v>52</v>
      </c>
      <c r="AE62">
        <f t="shared" si="20"/>
        <v>400.17995896167787</v>
      </c>
      <c r="AF62">
        <f t="shared" si="21"/>
        <v>512.20698984436933</v>
      </c>
      <c r="AV62">
        <v>52</v>
      </c>
      <c r="AW62">
        <f t="shared" si="24"/>
        <v>430.96303272796081</v>
      </c>
      <c r="AX62">
        <f t="shared" si="25"/>
        <v>551.60752752470546</v>
      </c>
      <c r="AZ62">
        <f t="shared" si="41"/>
        <v>494.97474683058329</v>
      </c>
      <c r="BA62">
        <f t="shared" si="27"/>
        <v>494.97474683058323</v>
      </c>
    </row>
    <row r="63" spans="2:53" x14ac:dyDescent="0.25">
      <c r="I63">
        <v>53</v>
      </c>
      <c r="J63">
        <f t="shared" si="8"/>
        <v>300.90751157602421</v>
      </c>
      <c r="K63">
        <f t="shared" si="9"/>
        <v>399.31775502364644</v>
      </c>
      <c r="M63">
        <v>53</v>
      </c>
      <c r="N63">
        <f t="shared" si="10"/>
        <v>346.04363831242784</v>
      </c>
      <c r="O63">
        <f t="shared" si="11"/>
        <v>459.21541827719335</v>
      </c>
      <c r="Q63">
        <f t="shared" si="12"/>
        <v>239.59065301418784</v>
      </c>
      <c r="R63">
        <f t="shared" si="13"/>
        <v>180.5445069456145</v>
      </c>
      <c r="S63">
        <f t="shared" si="4"/>
        <v>91.590653014187836</v>
      </c>
      <c r="T63">
        <f t="shared" si="55"/>
        <v>180.5445069456145</v>
      </c>
      <c r="V63">
        <f t="shared" si="14"/>
        <v>239.59065301418784</v>
      </c>
      <c r="W63">
        <f t="shared" si="15"/>
        <v>180.5445069456145</v>
      </c>
      <c r="X63">
        <f t="shared" si="16"/>
        <v>91.590653014187836</v>
      </c>
      <c r="Y63">
        <f t="shared" si="17"/>
        <v>180.5445069456145</v>
      </c>
      <c r="AA63">
        <v>53</v>
      </c>
      <c r="AB63">
        <f t="shared" si="18"/>
        <v>270.81676041842178</v>
      </c>
      <c r="AC63">
        <f t="shared" si="19"/>
        <v>359.3859795212818</v>
      </c>
      <c r="AD63">
        <v>53</v>
      </c>
      <c r="AE63">
        <f t="shared" si="20"/>
        <v>391.17976504883143</v>
      </c>
      <c r="AF63">
        <f t="shared" si="21"/>
        <v>519.11308153074037</v>
      </c>
      <c r="AV63">
        <v>53</v>
      </c>
      <c r="AW63">
        <f t="shared" si="24"/>
        <v>421.27051620643385</v>
      </c>
      <c r="AX63">
        <f t="shared" si="25"/>
        <v>559.04485703310502</v>
      </c>
      <c r="AZ63">
        <f t="shared" si="41"/>
        <v>494.97474683058329</v>
      </c>
      <c r="BA63">
        <f t="shared" si="27"/>
        <v>494.97474683058323</v>
      </c>
    </row>
    <row r="64" spans="2:53" x14ac:dyDescent="0.25">
      <c r="I64">
        <v>54</v>
      </c>
      <c r="J64">
        <f t="shared" si="8"/>
        <v>293.89262614623658</v>
      </c>
      <c r="K64">
        <f t="shared" si="9"/>
        <v>404.50849718747372</v>
      </c>
      <c r="M64">
        <v>54</v>
      </c>
      <c r="N64">
        <f t="shared" si="10"/>
        <v>337.97652006817208</v>
      </c>
      <c r="O64">
        <f t="shared" si="11"/>
        <v>465.1847717655948</v>
      </c>
      <c r="Q64">
        <f t="shared" si="12"/>
        <v>242.70509831248424</v>
      </c>
      <c r="R64">
        <f t="shared" si="13"/>
        <v>176.33557568774194</v>
      </c>
      <c r="S64">
        <f t="shared" si="4"/>
        <v>94.705098312484239</v>
      </c>
      <c r="T64">
        <f t="shared" si="55"/>
        <v>176.33557568774194</v>
      </c>
      <c r="V64">
        <f t="shared" si="14"/>
        <v>242.70509831248424</v>
      </c>
      <c r="W64">
        <f t="shared" si="15"/>
        <v>176.33557568774194</v>
      </c>
      <c r="X64">
        <f t="shared" si="16"/>
        <v>94.705098312484239</v>
      </c>
      <c r="Y64">
        <f t="shared" si="17"/>
        <v>176.33557568774194</v>
      </c>
      <c r="AA64">
        <v>54</v>
      </c>
      <c r="AB64">
        <f t="shared" si="18"/>
        <v>264.50336353161293</v>
      </c>
      <c r="AC64">
        <f t="shared" si="19"/>
        <v>364.05764746872637</v>
      </c>
      <c r="AD64">
        <v>54</v>
      </c>
      <c r="AE64">
        <f t="shared" si="20"/>
        <v>382.06041399010752</v>
      </c>
      <c r="AF64">
        <f t="shared" si="21"/>
        <v>525.86104634371588</v>
      </c>
      <c r="AV64">
        <v>54</v>
      </c>
      <c r="AW64">
        <f t="shared" si="24"/>
        <v>411.44967660473122</v>
      </c>
      <c r="AX64">
        <f t="shared" si="25"/>
        <v>566.31189606246323</v>
      </c>
      <c r="AZ64">
        <f t="shared" si="41"/>
        <v>494.97474683058329</v>
      </c>
      <c r="BA64">
        <f t="shared" si="27"/>
        <v>494.97474683058323</v>
      </c>
    </row>
    <row r="65" spans="9:53" x14ac:dyDescent="0.25">
      <c r="I65">
        <v>55</v>
      </c>
      <c r="J65">
        <f t="shared" si="8"/>
        <v>286.78821817552307</v>
      </c>
      <c r="K65">
        <f t="shared" si="9"/>
        <v>409.57602214449588</v>
      </c>
      <c r="M65">
        <v>55</v>
      </c>
      <c r="N65">
        <f t="shared" si="10"/>
        <v>329.80645090185152</v>
      </c>
      <c r="O65">
        <f t="shared" si="11"/>
        <v>471.01242546617027</v>
      </c>
      <c r="Q65">
        <f t="shared" si="12"/>
        <v>245.74561328669753</v>
      </c>
      <c r="R65">
        <f t="shared" si="13"/>
        <v>172.07293090531385</v>
      </c>
      <c r="S65">
        <f t="shared" si="4"/>
        <v>97.745613286697534</v>
      </c>
      <c r="T65">
        <f t="shared" si="55"/>
        <v>172.07293090531385</v>
      </c>
      <c r="V65">
        <f t="shared" si="14"/>
        <v>245.74561328669753</v>
      </c>
      <c r="W65">
        <f t="shared" si="15"/>
        <v>172.07293090531385</v>
      </c>
      <c r="X65">
        <f t="shared" si="16"/>
        <v>97.745613286697534</v>
      </c>
      <c r="Y65">
        <f t="shared" si="17"/>
        <v>172.07293090531385</v>
      </c>
      <c r="AA65">
        <v>55</v>
      </c>
      <c r="AB65">
        <f t="shared" si="18"/>
        <v>258.10939635797075</v>
      </c>
      <c r="AC65">
        <f t="shared" si="19"/>
        <v>368.61841993004629</v>
      </c>
      <c r="AD65">
        <v>55</v>
      </c>
      <c r="AE65">
        <f t="shared" si="20"/>
        <v>372.82468362818003</v>
      </c>
      <c r="AF65">
        <f t="shared" si="21"/>
        <v>532.44882878784472</v>
      </c>
      <c r="AV65">
        <v>55</v>
      </c>
      <c r="AW65">
        <f t="shared" si="24"/>
        <v>401.50350544573229</v>
      </c>
      <c r="AX65">
        <f t="shared" si="25"/>
        <v>573.40643100229431</v>
      </c>
      <c r="AZ65">
        <f t="shared" si="41"/>
        <v>494.97474683058329</v>
      </c>
      <c r="BA65">
        <f t="shared" si="27"/>
        <v>494.97474683058323</v>
      </c>
    </row>
    <row r="66" spans="9:53" x14ac:dyDescent="0.25">
      <c r="I66">
        <v>56</v>
      </c>
      <c r="J66">
        <f t="shared" si="8"/>
        <v>279.59645173537342</v>
      </c>
      <c r="K66">
        <f t="shared" si="9"/>
        <v>414.51878627752086</v>
      </c>
      <c r="M66">
        <v>56</v>
      </c>
      <c r="N66">
        <f t="shared" si="10"/>
        <v>321.53591949567942</v>
      </c>
      <c r="O66">
        <f t="shared" si="11"/>
        <v>476.69660421914898</v>
      </c>
      <c r="Q66">
        <f t="shared" si="12"/>
        <v>248.71127176651251</v>
      </c>
      <c r="R66">
        <f t="shared" si="13"/>
        <v>167.75787104122404</v>
      </c>
      <c r="S66">
        <f t="shared" si="4"/>
        <v>100.71127176651251</v>
      </c>
      <c r="T66">
        <f t="shared" si="55"/>
        <v>167.75787104122404</v>
      </c>
      <c r="V66">
        <f t="shared" si="14"/>
        <v>248.71127176651251</v>
      </c>
      <c r="W66">
        <f t="shared" si="15"/>
        <v>167.75787104122404</v>
      </c>
      <c r="X66">
        <f t="shared" si="16"/>
        <v>100.71127176651251</v>
      </c>
      <c r="Y66">
        <f t="shared" si="17"/>
        <v>167.75787104122404</v>
      </c>
      <c r="AA66">
        <v>56</v>
      </c>
      <c r="AB66">
        <f t="shared" si="18"/>
        <v>251.63680656183607</v>
      </c>
      <c r="AC66">
        <f t="shared" si="19"/>
        <v>373.06690764976878</v>
      </c>
      <c r="AD66">
        <v>56</v>
      </c>
      <c r="AE66">
        <f t="shared" si="20"/>
        <v>363.47538725598542</v>
      </c>
      <c r="AF66">
        <f t="shared" si="21"/>
        <v>538.87442216077716</v>
      </c>
      <c r="AV66">
        <v>56</v>
      </c>
      <c r="AW66">
        <f t="shared" si="24"/>
        <v>391.43503242952278</v>
      </c>
      <c r="AX66">
        <f t="shared" si="25"/>
        <v>580.32630078852924</v>
      </c>
      <c r="AZ66">
        <f t="shared" si="41"/>
        <v>494.97474683058329</v>
      </c>
      <c r="BA66">
        <f t="shared" si="27"/>
        <v>494.97474683058323</v>
      </c>
    </row>
    <row r="67" spans="9:53" x14ac:dyDescent="0.25">
      <c r="I67">
        <v>57</v>
      </c>
      <c r="J67">
        <f t="shared" si="8"/>
        <v>272.31951750751358</v>
      </c>
      <c r="K67">
        <f t="shared" si="9"/>
        <v>419.33528397271198</v>
      </c>
      <c r="M67">
        <v>57</v>
      </c>
      <c r="N67">
        <f t="shared" si="10"/>
        <v>313.16744513364063</v>
      </c>
      <c r="O67">
        <f t="shared" si="11"/>
        <v>482.23557656861874</v>
      </c>
      <c r="Q67">
        <f t="shared" si="12"/>
        <v>251.60117038362719</v>
      </c>
      <c r="R67">
        <f t="shared" si="13"/>
        <v>163.39171050450815</v>
      </c>
      <c r="S67">
        <f t="shared" si="4"/>
        <v>103.60117038362719</v>
      </c>
      <c r="T67">
        <f t="shared" si="55"/>
        <v>163.39171050450815</v>
      </c>
      <c r="V67">
        <f t="shared" si="14"/>
        <v>251.60117038362719</v>
      </c>
      <c r="W67">
        <f t="shared" si="15"/>
        <v>163.39171050450815</v>
      </c>
      <c r="X67">
        <f t="shared" si="16"/>
        <v>103.60117038362719</v>
      </c>
      <c r="Y67">
        <f t="shared" si="17"/>
        <v>163.39171050450815</v>
      </c>
      <c r="AA67">
        <v>57</v>
      </c>
      <c r="AB67">
        <f t="shared" si="18"/>
        <v>245.08756575676225</v>
      </c>
      <c r="AC67">
        <f t="shared" si="19"/>
        <v>377.40175557544075</v>
      </c>
      <c r="AD67">
        <v>57</v>
      </c>
      <c r="AE67">
        <f t="shared" si="20"/>
        <v>354.01537275976767</v>
      </c>
      <c r="AF67">
        <f t="shared" si="21"/>
        <v>545.13586916452562</v>
      </c>
      <c r="AV67">
        <v>57</v>
      </c>
      <c r="AW67">
        <f t="shared" si="24"/>
        <v>381.24732451051904</v>
      </c>
      <c r="AX67">
        <f t="shared" si="25"/>
        <v>587.06939756179679</v>
      </c>
      <c r="AZ67">
        <f t="shared" si="41"/>
        <v>494.97474683058329</v>
      </c>
      <c r="BA67">
        <f t="shared" si="27"/>
        <v>494.97474683058323</v>
      </c>
    </row>
    <row r="68" spans="9:53" x14ac:dyDescent="0.25">
      <c r="I68">
        <v>58</v>
      </c>
      <c r="J68">
        <f t="shared" si="8"/>
        <v>264.95963211660245</v>
      </c>
      <c r="K68">
        <f t="shared" si="9"/>
        <v>424.02404807821296</v>
      </c>
      <c r="M68">
        <v>58</v>
      </c>
      <c r="N68">
        <f t="shared" si="10"/>
        <v>304.70357693409284</v>
      </c>
      <c r="O68">
        <f t="shared" si="11"/>
        <v>487.62765528994493</v>
      </c>
      <c r="Q68">
        <f t="shared" si="12"/>
        <v>254.41442884692779</v>
      </c>
      <c r="R68">
        <f t="shared" si="13"/>
        <v>158.97577926996146</v>
      </c>
      <c r="S68">
        <f t="shared" si="4"/>
        <v>106.41442884692779</v>
      </c>
      <c r="T68">
        <f t="shared" si="55"/>
        <v>158.97577926996146</v>
      </c>
      <c r="V68">
        <f t="shared" si="14"/>
        <v>254.41442884692779</v>
      </c>
      <c r="W68">
        <f t="shared" si="15"/>
        <v>158.97577926996146</v>
      </c>
      <c r="X68">
        <f t="shared" si="16"/>
        <v>106.41442884692779</v>
      </c>
      <c r="Y68">
        <f t="shared" si="17"/>
        <v>158.97577926996146</v>
      </c>
      <c r="AA68">
        <v>58</v>
      </c>
      <c r="AB68">
        <f t="shared" si="18"/>
        <v>238.46366890494221</v>
      </c>
      <c r="AC68">
        <f t="shared" si="19"/>
        <v>381.6216432703917</v>
      </c>
      <c r="AD68">
        <v>58</v>
      </c>
      <c r="AE68">
        <f t="shared" si="20"/>
        <v>344.44752175158317</v>
      </c>
      <c r="AF68">
        <f t="shared" si="21"/>
        <v>551.23126250167684</v>
      </c>
      <c r="AV68">
        <v>58</v>
      </c>
      <c r="AW68">
        <f t="shared" si="24"/>
        <v>370.94348496324341</v>
      </c>
      <c r="AX68">
        <f t="shared" si="25"/>
        <v>593.63366730949815</v>
      </c>
      <c r="AZ68">
        <f t="shared" si="41"/>
        <v>494.97474683058329</v>
      </c>
      <c r="BA68">
        <f t="shared" si="27"/>
        <v>494.97474683058323</v>
      </c>
    </row>
    <row r="69" spans="9:53" x14ac:dyDescent="0.25">
      <c r="I69">
        <v>59</v>
      </c>
      <c r="J69">
        <f t="shared" si="8"/>
        <v>257.51903745502722</v>
      </c>
      <c r="K69">
        <f t="shared" si="9"/>
        <v>428.58365035105612</v>
      </c>
      <c r="M69">
        <v>59</v>
      </c>
      <c r="N69">
        <f t="shared" si="10"/>
        <v>296.14689307328126</v>
      </c>
      <c r="O69">
        <f t="shared" si="11"/>
        <v>492.87119790371452</v>
      </c>
      <c r="Q69">
        <f t="shared" si="12"/>
        <v>257.15019021063364</v>
      </c>
      <c r="R69">
        <f t="shared" si="13"/>
        <v>154.51142247301632</v>
      </c>
      <c r="S69">
        <f t="shared" si="4"/>
        <v>109.15019021063364</v>
      </c>
      <c r="T69">
        <f t="shared" si="55"/>
        <v>154.51142247301632</v>
      </c>
      <c r="V69">
        <f t="shared" si="14"/>
        <v>257.15019021063364</v>
      </c>
      <c r="W69">
        <f t="shared" si="15"/>
        <v>154.51142247301632</v>
      </c>
      <c r="X69">
        <f t="shared" si="16"/>
        <v>109.15019021063364</v>
      </c>
      <c r="Y69">
        <f t="shared" si="17"/>
        <v>154.51142247301632</v>
      </c>
      <c r="AA69">
        <v>59</v>
      </c>
      <c r="AB69">
        <f t="shared" si="18"/>
        <v>231.76713370952447</v>
      </c>
      <c r="AC69">
        <f t="shared" si="19"/>
        <v>385.72528531595049</v>
      </c>
      <c r="AD69">
        <v>59</v>
      </c>
      <c r="AE69">
        <f t="shared" si="20"/>
        <v>334.77474869153536</v>
      </c>
      <c r="AF69">
        <f t="shared" si="21"/>
        <v>557.15874545637291</v>
      </c>
      <c r="AV69">
        <v>59</v>
      </c>
      <c r="AW69">
        <f t="shared" si="24"/>
        <v>360.52665243703808</v>
      </c>
      <c r="AX69">
        <f t="shared" si="25"/>
        <v>600.01711049147855</v>
      </c>
      <c r="AZ69">
        <f t="shared" si="41"/>
        <v>494.97474683058329</v>
      </c>
      <c r="BA69">
        <f t="shared" si="27"/>
        <v>494.97474683058323</v>
      </c>
    </row>
    <row r="70" spans="9:53" x14ac:dyDescent="0.25">
      <c r="I70">
        <v>60</v>
      </c>
      <c r="J70">
        <f t="shared" si="8"/>
        <v>250.00000000000006</v>
      </c>
      <c r="K70">
        <f t="shared" si="9"/>
        <v>433.0127018922193</v>
      </c>
      <c r="M70">
        <v>60</v>
      </c>
      <c r="N70">
        <f t="shared" si="10"/>
        <v>287.50000000000006</v>
      </c>
      <c r="O70">
        <f t="shared" si="11"/>
        <v>497.9646071760522</v>
      </c>
      <c r="Q70">
        <f t="shared" si="12"/>
        <v>259.8076211353316</v>
      </c>
      <c r="R70">
        <f t="shared" si="13"/>
        <v>150.00000000000003</v>
      </c>
      <c r="S70">
        <f t="shared" si="4"/>
        <v>111.8076211353316</v>
      </c>
      <c r="T70">
        <f t="shared" si="55"/>
        <v>150.00000000000003</v>
      </c>
      <c r="V70">
        <f t="shared" si="14"/>
        <v>259.8076211353316</v>
      </c>
      <c r="W70">
        <f t="shared" si="15"/>
        <v>150.00000000000003</v>
      </c>
      <c r="X70">
        <f t="shared" si="16"/>
        <v>111.8076211353316</v>
      </c>
      <c r="Y70">
        <f t="shared" si="17"/>
        <v>150.00000000000003</v>
      </c>
      <c r="AA70">
        <v>60</v>
      </c>
      <c r="AB70">
        <f t="shared" si="18"/>
        <v>225.00000000000006</v>
      </c>
      <c r="AC70">
        <f t="shared" si="19"/>
        <v>389.71143170299734</v>
      </c>
      <c r="AD70">
        <v>60</v>
      </c>
      <c r="AE70">
        <f t="shared" si="20"/>
        <v>325.00000000000006</v>
      </c>
      <c r="AF70">
        <f t="shared" si="21"/>
        <v>562.9165124598851</v>
      </c>
      <c r="AV70">
        <v>60</v>
      </c>
      <c r="AW70">
        <f t="shared" si="24"/>
        <v>350.00000000000006</v>
      </c>
      <c r="AX70">
        <f t="shared" si="25"/>
        <v>606.21778264910699</v>
      </c>
      <c r="AZ70">
        <f t="shared" si="41"/>
        <v>494.97474683058329</v>
      </c>
      <c r="BA70">
        <f t="shared" si="27"/>
        <v>494.97474683058323</v>
      </c>
    </row>
    <row r="71" spans="9:53" x14ac:dyDescent="0.25">
      <c r="I71">
        <v>61</v>
      </c>
      <c r="J71">
        <f t="shared" si="8"/>
        <v>242.40481012316855</v>
      </c>
      <c r="K71">
        <f t="shared" si="9"/>
        <v>437.30985356969785</v>
      </c>
      <c r="M71">
        <v>61</v>
      </c>
      <c r="N71">
        <f t="shared" si="10"/>
        <v>278.76553164164386</v>
      </c>
      <c r="O71">
        <f t="shared" si="11"/>
        <v>502.90633160515256</v>
      </c>
      <c r="Q71">
        <f t="shared" si="12"/>
        <v>262.38591214181872</v>
      </c>
      <c r="R71">
        <f t="shared" si="13"/>
        <v>145.44288607390112</v>
      </c>
      <c r="S71">
        <f t="shared" si="4"/>
        <v>114.38591214181872</v>
      </c>
      <c r="T71">
        <f t="shared" si="55"/>
        <v>145.44288607390112</v>
      </c>
      <c r="V71">
        <f t="shared" si="14"/>
        <v>262.38591214181872</v>
      </c>
      <c r="W71">
        <f t="shared" si="15"/>
        <v>145.44288607390112</v>
      </c>
      <c r="X71">
        <f t="shared" si="16"/>
        <v>114.38591214181872</v>
      </c>
      <c r="Y71">
        <f t="shared" si="17"/>
        <v>145.44288607390112</v>
      </c>
      <c r="AA71">
        <v>61</v>
      </c>
      <c r="AB71">
        <f t="shared" si="18"/>
        <v>218.1643291108517</v>
      </c>
      <c r="AC71">
        <f t="shared" si="19"/>
        <v>393.57886821272808</v>
      </c>
      <c r="AD71">
        <v>61</v>
      </c>
      <c r="AE71">
        <f t="shared" si="20"/>
        <v>315.12625316011912</v>
      </c>
      <c r="AF71">
        <f t="shared" si="21"/>
        <v>568.50280964060721</v>
      </c>
      <c r="AV71">
        <v>61</v>
      </c>
      <c r="AW71">
        <f t="shared" si="24"/>
        <v>339.366734172436</v>
      </c>
      <c r="AX71">
        <f t="shared" si="25"/>
        <v>612.23379499757698</v>
      </c>
      <c r="AZ71">
        <f t="shared" si="41"/>
        <v>494.97474683058329</v>
      </c>
      <c r="BA71">
        <f t="shared" si="27"/>
        <v>494.97474683058323</v>
      </c>
    </row>
    <row r="72" spans="9:53" x14ac:dyDescent="0.25">
      <c r="I72">
        <v>62</v>
      </c>
      <c r="J72">
        <f t="shared" si="8"/>
        <v>234.73578139294543</v>
      </c>
      <c r="K72">
        <f t="shared" si="9"/>
        <v>441.47379642946345</v>
      </c>
      <c r="M72">
        <v>62</v>
      </c>
      <c r="N72">
        <f t="shared" si="10"/>
        <v>269.94614860188727</v>
      </c>
      <c r="O72">
        <f t="shared" si="11"/>
        <v>507.69486589388293</v>
      </c>
      <c r="Q72">
        <f t="shared" si="12"/>
        <v>264.88427785767806</v>
      </c>
      <c r="R72">
        <f t="shared" si="13"/>
        <v>140.84146883576724</v>
      </c>
      <c r="S72">
        <f t="shared" si="4"/>
        <v>116.88427785767806</v>
      </c>
      <c r="T72">
        <f t="shared" si="55"/>
        <v>140.84146883576724</v>
      </c>
      <c r="V72">
        <f t="shared" si="14"/>
        <v>264.88427785767806</v>
      </c>
      <c r="W72">
        <f t="shared" si="15"/>
        <v>140.84146883576724</v>
      </c>
      <c r="X72">
        <f t="shared" si="16"/>
        <v>116.88427785767806</v>
      </c>
      <c r="Y72">
        <f t="shared" si="17"/>
        <v>140.84146883576724</v>
      </c>
      <c r="AA72">
        <v>62</v>
      </c>
      <c r="AB72">
        <f t="shared" si="18"/>
        <v>211.26220325365088</v>
      </c>
      <c r="AC72">
        <f t="shared" si="19"/>
        <v>397.32641678651709</v>
      </c>
      <c r="AD72">
        <v>62</v>
      </c>
      <c r="AE72">
        <f t="shared" si="20"/>
        <v>305.15651581082903</v>
      </c>
      <c r="AF72">
        <f t="shared" si="21"/>
        <v>573.91593535830248</v>
      </c>
      <c r="AV72">
        <v>62</v>
      </c>
      <c r="AW72">
        <f t="shared" si="24"/>
        <v>328.63009395012358</v>
      </c>
      <c r="AX72">
        <f t="shared" si="25"/>
        <v>618.06331500124884</v>
      </c>
      <c r="AZ72">
        <f t="shared" si="41"/>
        <v>494.97474683058329</v>
      </c>
      <c r="BA72">
        <f t="shared" si="27"/>
        <v>494.97474683058323</v>
      </c>
    </row>
    <row r="73" spans="9:53" x14ac:dyDescent="0.25">
      <c r="I73">
        <v>63</v>
      </c>
      <c r="J73">
        <f t="shared" si="8"/>
        <v>226.9952498697734</v>
      </c>
      <c r="K73">
        <f t="shared" si="9"/>
        <v>445.50326209418387</v>
      </c>
      <c r="M73">
        <v>63</v>
      </c>
      <c r="N73">
        <f t="shared" si="10"/>
        <v>261.04453735023941</v>
      </c>
      <c r="O73">
        <f t="shared" si="11"/>
        <v>512.32875140831152</v>
      </c>
      <c r="Q73">
        <f t="shared" si="12"/>
        <v>267.30195725651032</v>
      </c>
      <c r="R73">
        <f t="shared" si="13"/>
        <v>136.19714992186405</v>
      </c>
      <c r="S73">
        <f t="shared" si="4"/>
        <v>119.30195725651032</v>
      </c>
      <c r="T73">
        <f t="shared" si="55"/>
        <v>136.19714992186405</v>
      </c>
      <c r="V73">
        <f t="shared" si="14"/>
        <v>267.30195725651032</v>
      </c>
      <c r="W73">
        <f t="shared" si="15"/>
        <v>136.19714992186405</v>
      </c>
      <c r="X73">
        <f t="shared" si="16"/>
        <v>119.30195725651032</v>
      </c>
      <c r="Y73">
        <f t="shared" si="17"/>
        <v>136.19714992186405</v>
      </c>
      <c r="AA73">
        <v>63</v>
      </c>
      <c r="AB73">
        <f t="shared" si="18"/>
        <v>204.29572488279607</v>
      </c>
      <c r="AC73">
        <f t="shared" si="19"/>
        <v>400.95293588476551</v>
      </c>
      <c r="AD73">
        <v>63</v>
      </c>
      <c r="AE73">
        <f t="shared" si="20"/>
        <v>295.09382483070544</v>
      </c>
      <c r="AF73">
        <f t="shared" si="21"/>
        <v>579.15424072243911</v>
      </c>
      <c r="AV73">
        <v>63</v>
      </c>
      <c r="AW73">
        <f t="shared" si="24"/>
        <v>317.79334981768278</v>
      </c>
      <c r="AX73">
        <f t="shared" si="25"/>
        <v>623.70456693185747</v>
      </c>
      <c r="AZ73">
        <f t="shared" si="41"/>
        <v>494.97474683058329</v>
      </c>
      <c r="BA73">
        <f t="shared" si="27"/>
        <v>494.97474683058323</v>
      </c>
    </row>
    <row r="74" spans="9:53" x14ac:dyDescent="0.25">
      <c r="I74">
        <v>64</v>
      </c>
      <c r="J74">
        <f t="shared" si="8"/>
        <v>219.18557339453872</v>
      </c>
      <c r="K74">
        <f t="shared" si="9"/>
        <v>449.3970231495835</v>
      </c>
      <c r="M74">
        <v>64</v>
      </c>
      <c r="N74">
        <f t="shared" si="10"/>
        <v>252.06340940371953</v>
      </c>
      <c r="O74">
        <f t="shared" si="11"/>
        <v>516.806576622021</v>
      </c>
      <c r="Q74">
        <f t="shared" si="12"/>
        <v>269.63821388975009</v>
      </c>
      <c r="R74">
        <f t="shared" si="13"/>
        <v>131.51134403672324</v>
      </c>
      <c r="S74">
        <f t="shared" si="4"/>
        <v>121.63821388975009</v>
      </c>
      <c r="T74">
        <f t="shared" si="55"/>
        <v>131.51134403672324</v>
      </c>
      <c r="V74">
        <f t="shared" si="14"/>
        <v>269.63821388975009</v>
      </c>
      <c r="W74">
        <f t="shared" si="15"/>
        <v>131.51134403672324</v>
      </c>
      <c r="X74">
        <f t="shared" si="16"/>
        <v>121.63821388975009</v>
      </c>
      <c r="Y74">
        <f t="shared" si="17"/>
        <v>131.51134403672324</v>
      </c>
      <c r="AA74">
        <v>64</v>
      </c>
      <c r="AB74">
        <f t="shared" si="18"/>
        <v>197.26701605508487</v>
      </c>
      <c r="AC74">
        <f t="shared" si="19"/>
        <v>404.45732083462519</v>
      </c>
      <c r="AD74">
        <v>64</v>
      </c>
      <c r="AE74">
        <f t="shared" si="20"/>
        <v>284.94124541290034</v>
      </c>
      <c r="AF74">
        <f t="shared" si="21"/>
        <v>584.21613009445855</v>
      </c>
      <c r="AV74">
        <v>64</v>
      </c>
      <c r="AW74">
        <f t="shared" si="24"/>
        <v>306.8598027523542</v>
      </c>
      <c r="AX74">
        <f t="shared" si="25"/>
        <v>629.15583240941692</v>
      </c>
      <c r="AZ74">
        <f t="shared" si="41"/>
        <v>494.97474683058329</v>
      </c>
      <c r="BA74">
        <f t="shared" si="27"/>
        <v>494.97474683058323</v>
      </c>
    </row>
    <row r="75" spans="9:53" x14ac:dyDescent="0.25">
      <c r="I75">
        <v>65</v>
      </c>
      <c r="J75">
        <f t="shared" si="8"/>
        <v>211.30913087034972</v>
      </c>
      <c r="K75">
        <f t="shared" si="9"/>
        <v>453.15389351832499</v>
      </c>
      <c r="M75">
        <v>65</v>
      </c>
      <c r="N75">
        <f t="shared" si="10"/>
        <v>243.00550050090217</v>
      </c>
      <c r="O75">
        <f t="shared" si="11"/>
        <v>521.1269775460737</v>
      </c>
      <c r="Q75">
        <f t="shared" si="12"/>
        <v>271.89233611099496</v>
      </c>
      <c r="R75">
        <f t="shared" si="13"/>
        <v>126.78547852220983</v>
      </c>
      <c r="S75">
        <f t="shared" ref="S75:S138" si="66">Q75+$T$7</f>
        <v>123.89233611099496</v>
      </c>
      <c r="T75">
        <f t="shared" ref="T75:T138" si="67">R75+$T$8</f>
        <v>126.78547852220983</v>
      </c>
      <c r="V75">
        <f t="shared" si="14"/>
        <v>271.89233611099496</v>
      </c>
      <c r="W75">
        <f t="shared" si="15"/>
        <v>126.78547852220983</v>
      </c>
      <c r="X75">
        <f t="shared" si="16"/>
        <v>123.89233611099496</v>
      </c>
      <c r="Y75">
        <f t="shared" si="17"/>
        <v>126.78547852220983</v>
      </c>
      <c r="AA75">
        <v>65</v>
      </c>
      <c r="AB75">
        <f t="shared" si="18"/>
        <v>190.17821778331475</v>
      </c>
      <c r="AC75">
        <f t="shared" si="19"/>
        <v>407.8385041664925</v>
      </c>
      <c r="AD75">
        <v>65</v>
      </c>
      <c r="AE75">
        <f t="shared" si="20"/>
        <v>274.70187013145465</v>
      </c>
      <c r="AF75">
        <f t="shared" si="21"/>
        <v>589.10006157382247</v>
      </c>
      <c r="AV75">
        <v>65</v>
      </c>
      <c r="AW75">
        <f t="shared" si="24"/>
        <v>295.83278321848962</v>
      </c>
      <c r="AX75">
        <f t="shared" si="25"/>
        <v>634.41545092565491</v>
      </c>
      <c r="AZ75">
        <f t="shared" si="41"/>
        <v>494.97474683058329</v>
      </c>
      <c r="BA75">
        <f t="shared" si="27"/>
        <v>494.97474683058323</v>
      </c>
    </row>
    <row r="76" spans="9:53" x14ac:dyDescent="0.25">
      <c r="I76">
        <v>66</v>
      </c>
      <c r="J76">
        <f t="shared" ref="J76:J139" si="68">COS(I76*PI()/180)*$J$8</f>
        <v>203.3683215379001</v>
      </c>
      <c r="K76">
        <f t="shared" ref="K76:K139" si="69">SIN(I76*PI()/180)*$J$8</f>
        <v>456.77272882130046</v>
      </c>
      <c r="M76">
        <v>66</v>
      </c>
      <c r="N76">
        <f t="shared" ref="N76:N139" si="70">COS(M76*PI()/180)*$N$8</f>
        <v>233.87356976858513</v>
      </c>
      <c r="O76">
        <f t="shared" ref="O76:O139" si="71">SIN(M76*PI()/180)*$N$8</f>
        <v>525.28863814449551</v>
      </c>
      <c r="Q76">
        <f t="shared" ref="Q76:Q139" si="72">SIN(I76*PI()/180)*$Q$8</f>
        <v>274.06363729278024</v>
      </c>
      <c r="R76">
        <f t="shared" ref="R76:R139" si="73">COS(I76*PI()/180)*$Q$8</f>
        <v>122.02099292274006</v>
      </c>
      <c r="S76">
        <f t="shared" si="66"/>
        <v>126.06363729278024</v>
      </c>
      <c r="T76">
        <f t="shared" si="67"/>
        <v>122.02099292274006</v>
      </c>
      <c r="V76">
        <f t="shared" ref="V76:V139" si="74">SIN(I76*PI()/180)*$V$8</f>
        <v>274.06363729278024</v>
      </c>
      <c r="W76">
        <f t="shared" ref="W76:W139" si="75">COS(I76*PI()/180)*$V$8</f>
        <v>122.02099292274006</v>
      </c>
      <c r="X76">
        <f t="shared" ref="X76:X139" si="76">V76+$Y$7</f>
        <v>126.06363729278024</v>
      </c>
      <c r="Y76">
        <f t="shared" ref="Y76:Y139" si="77">W76+$Y$8</f>
        <v>122.02099292274006</v>
      </c>
      <c r="AA76">
        <v>66</v>
      </c>
      <c r="AB76">
        <f t="shared" ref="AB76:AB139" si="78">COS(AA76*PI()/180)*$AB$8</f>
        <v>183.0314893841101</v>
      </c>
      <c r="AC76">
        <f t="shared" ref="AC76:AC139" si="79">SIN(AA76*PI()/180)*$AB$8</f>
        <v>411.09545593917039</v>
      </c>
      <c r="AD76">
        <v>66</v>
      </c>
      <c r="AE76">
        <f t="shared" ref="AE76:AE139" si="80">COS(AD76*PI()/180)*$AE$8</f>
        <v>264.37881799927015</v>
      </c>
      <c r="AF76">
        <f t="shared" ref="AF76:AF139" si="81">SIN(AD76*PI()/180)*$AE$8</f>
        <v>593.80454746769055</v>
      </c>
      <c r="AV76">
        <v>66</v>
      </c>
      <c r="AW76">
        <f t="shared" ref="AW76:AW139" si="82">COS(AV76*PI()/180)*$AW$8</f>
        <v>284.71565015306015</v>
      </c>
      <c r="AX76">
        <f t="shared" ref="AX76:AX139" si="83">SIN(AV76*PI()/180)*$AW$8</f>
        <v>639.48182034982062</v>
      </c>
      <c r="AZ76">
        <f t="shared" si="41"/>
        <v>494.97474683058329</v>
      </c>
      <c r="BA76">
        <f t="shared" ref="BA76:BA139" si="84">IF(AV76&lt;$BE$7,AX76,VLOOKUP($BE$7,$AV$11:$AX$370,3,0))</f>
        <v>494.97474683058323</v>
      </c>
    </row>
    <row r="77" spans="9:53" x14ac:dyDescent="0.25">
      <c r="I77">
        <v>67</v>
      </c>
      <c r="J77">
        <f t="shared" si="68"/>
        <v>195.36556424463697</v>
      </c>
      <c r="K77">
        <f t="shared" si="69"/>
        <v>460.25242672622011</v>
      </c>
      <c r="M77">
        <v>67</v>
      </c>
      <c r="N77">
        <f t="shared" si="70"/>
        <v>224.67039888133252</v>
      </c>
      <c r="O77">
        <f t="shared" si="71"/>
        <v>529.29029073515312</v>
      </c>
      <c r="Q77">
        <f t="shared" si="72"/>
        <v>276.15145603573205</v>
      </c>
      <c r="R77">
        <f t="shared" si="73"/>
        <v>117.21933854678218</v>
      </c>
      <c r="S77">
        <f t="shared" si="66"/>
        <v>128.15145603573205</v>
      </c>
      <c r="T77">
        <f t="shared" si="67"/>
        <v>117.21933854678218</v>
      </c>
      <c r="V77">
        <f t="shared" si="74"/>
        <v>276.15145603573205</v>
      </c>
      <c r="W77">
        <f t="shared" si="75"/>
        <v>117.21933854678218</v>
      </c>
      <c r="X77">
        <f t="shared" si="76"/>
        <v>128.15145603573205</v>
      </c>
      <c r="Y77">
        <f t="shared" si="77"/>
        <v>117.21933854678218</v>
      </c>
      <c r="AA77">
        <v>67</v>
      </c>
      <c r="AB77">
        <f t="shared" si="78"/>
        <v>175.82900782017327</v>
      </c>
      <c r="AC77">
        <f t="shared" si="79"/>
        <v>414.22718405359814</v>
      </c>
      <c r="AD77">
        <v>67</v>
      </c>
      <c r="AE77">
        <f t="shared" si="80"/>
        <v>253.97523351802806</v>
      </c>
      <c r="AF77">
        <f t="shared" si="81"/>
        <v>598.32815474408619</v>
      </c>
      <c r="AV77">
        <v>67</v>
      </c>
      <c r="AW77">
        <f t="shared" si="82"/>
        <v>273.51178994249176</v>
      </c>
      <c r="AX77">
        <f t="shared" si="83"/>
        <v>644.35339741670816</v>
      </c>
      <c r="AZ77">
        <f t="shared" si="41"/>
        <v>494.97474683058329</v>
      </c>
      <c r="BA77">
        <f t="shared" si="84"/>
        <v>494.97474683058323</v>
      </c>
    </row>
    <row r="78" spans="9:53" x14ac:dyDescent="0.25">
      <c r="I78">
        <v>68</v>
      </c>
      <c r="J78">
        <f t="shared" si="68"/>
        <v>187.30329670795598</v>
      </c>
      <c r="K78">
        <f t="shared" si="69"/>
        <v>463.59192728339372</v>
      </c>
      <c r="M78">
        <v>68</v>
      </c>
      <c r="N78">
        <f t="shared" si="70"/>
        <v>215.39879121414938</v>
      </c>
      <c r="O78">
        <f t="shared" si="71"/>
        <v>533.13071637590281</v>
      </c>
      <c r="Q78">
        <f t="shared" si="72"/>
        <v>278.15515637003625</v>
      </c>
      <c r="R78">
        <f t="shared" si="73"/>
        <v>112.38197802477359</v>
      </c>
      <c r="S78">
        <f t="shared" si="66"/>
        <v>130.15515637003625</v>
      </c>
      <c r="T78">
        <f t="shared" si="67"/>
        <v>112.38197802477359</v>
      </c>
      <c r="V78">
        <f t="shared" si="74"/>
        <v>278.15515637003625</v>
      </c>
      <c r="W78">
        <f t="shared" si="75"/>
        <v>112.38197802477359</v>
      </c>
      <c r="X78">
        <f t="shared" si="76"/>
        <v>130.15515637003625</v>
      </c>
      <c r="Y78">
        <f t="shared" si="77"/>
        <v>112.38197802477359</v>
      </c>
      <c r="AA78">
        <v>68</v>
      </c>
      <c r="AB78">
        <f t="shared" si="78"/>
        <v>168.57296703716037</v>
      </c>
      <c r="AC78">
        <f t="shared" si="79"/>
        <v>417.23273455505432</v>
      </c>
      <c r="AD78">
        <v>68</v>
      </c>
      <c r="AE78">
        <f t="shared" si="80"/>
        <v>243.49428572034276</v>
      </c>
      <c r="AF78">
        <f t="shared" si="81"/>
        <v>602.66950546841178</v>
      </c>
      <c r="AV78">
        <v>68</v>
      </c>
      <c r="AW78">
        <f t="shared" si="82"/>
        <v>262.2246153911384</v>
      </c>
      <c r="AX78">
        <f t="shared" si="83"/>
        <v>649.02869819675118</v>
      </c>
      <c r="AZ78">
        <f t="shared" si="41"/>
        <v>494.97474683058329</v>
      </c>
      <c r="BA78">
        <f t="shared" si="84"/>
        <v>494.97474683058323</v>
      </c>
    </row>
    <row r="79" spans="9:53" x14ac:dyDescent="0.25">
      <c r="I79">
        <v>69</v>
      </c>
      <c r="J79">
        <f t="shared" si="68"/>
        <v>179.1839747726502</v>
      </c>
      <c r="K79">
        <f t="shared" si="69"/>
        <v>466.79021324860088</v>
      </c>
      <c r="M79">
        <v>69</v>
      </c>
      <c r="N79">
        <f t="shared" si="70"/>
        <v>206.06157098854771</v>
      </c>
      <c r="O79">
        <f t="shared" si="71"/>
        <v>536.80874523589102</v>
      </c>
      <c r="Q79">
        <f t="shared" si="72"/>
        <v>280.07412794916053</v>
      </c>
      <c r="R79">
        <f t="shared" si="73"/>
        <v>107.51038486359012</v>
      </c>
      <c r="S79">
        <f t="shared" si="66"/>
        <v>132.07412794916053</v>
      </c>
      <c r="T79">
        <f t="shared" si="67"/>
        <v>107.51038486359012</v>
      </c>
      <c r="V79">
        <f t="shared" si="74"/>
        <v>280.07412794916053</v>
      </c>
      <c r="W79">
        <f t="shared" si="75"/>
        <v>107.51038486359012</v>
      </c>
      <c r="X79">
        <f t="shared" si="76"/>
        <v>132.07412794916053</v>
      </c>
      <c r="Y79">
        <f t="shared" si="77"/>
        <v>107.51038486359012</v>
      </c>
      <c r="AA79">
        <v>69</v>
      </c>
      <c r="AB79">
        <f t="shared" si="78"/>
        <v>161.26557729538516</v>
      </c>
      <c r="AC79">
        <f t="shared" si="79"/>
        <v>420.11119192374076</v>
      </c>
      <c r="AD79">
        <v>69</v>
      </c>
      <c r="AE79">
        <f t="shared" si="80"/>
        <v>232.93916720444525</v>
      </c>
      <c r="AF79">
        <f t="shared" si="81"/>
        <v>606.82727722318111</v>
      </c>
      <c r="AV79">
        <v>69</v>
      </c>
      <c r="AW79">
        <f t="shared" si="82"/>
        <v>250.85756468171027</v>
      </c>
      <c r="AX79">
        <f t="shared" si="83"/>
        <v>653.50629854804117</v>
      </c>
      <c r="AZ79">
        <f t="shared" si="41"/>
        <v>494.97474683058329</v>
      </c>
      <c r="BA79">
        <f t="shared" si="84"/>
        <v>494.97474683058323</v>
      </c>
    </row>
    <row r="80" spans="9:53" x14ac:dyDescent="0.25">
      <c r="I80">
        <v>70</v>
      </c>
      <c r="J80">
        <f t="shared" si="68"/>
        <v>171.01007166283441</v>
      </c>
      <c r="K80">
        <f t="shared" si="69"/>
        <v>469.84631039295414</v>
      </c>
      <c r="M80">
        <v>70</v>
      </c>
      <c r="N80">
        <f t="shared" si="70"/>
        <v>196.66158241225958</v>
      </c>
      <c r="O80">
        <f t="shared" si="71"/>
        <v>540.32325695189729</v>
      </c>
      <c r="Q80">
        <f t="shared" si="72"/>
        <v>281.90778623577251</v>
      </c>
      <c r="R80">
        <f t="shared" si="73"/>
        <v>102.60604299770064</v>
      </c>
      <c r="S80">
        <f t="shared" si="66"/>
        <v>133.90778623577251</v>
      </c>
      <c r="T80">
        <f t="shared" si="67"/>
        <v>102.60604299770064</v>
      </c>
      <c r="V80">
        <f t="shared" si="74"/>
        <v>281.90778623577251</v>
      </c>
      <c r="W80">
        <f t="shared" si="75"/>
        <v>102.60604299770064</v>
      </c>
      <c r="X80">
        <f t="shared" si="76"/>
        <v>133.90778623577251</v>
      </c>
      <c r="Y80">
        <f t="shared" si="77"/>
        <v>102.60604299770064</v>
      </c>
      <c r="AA80">
        <v>70</v>
      </c>
      <c r="AB80">
        <f t="shared" si="78"/>
        <v>153.90906449655097</v>
      </c>
      <c r="AC80">
        <f t="shared" si="79"/>
        <v>422.86167935365876</v>
      </c>
      <c r="AD80">
        <v>70</v>
      </c>
      <c r="AE80">
        <f t="shared" si="80"/>
        <v>222.31309316168475</v>
      </c>
      <c r="AF80">
        <f t="shared" si="81"/>
        <v>610.80020351084045</v>
      </c>
      <c r="AV80">
        <v>70</v>
      </c>
      <c r="AW80">
        <f t="shared" si="82"/>
        <v>239.41410032796819</v>
      </c>
      <c r="AX80">
        <f t="shared" si="83"/>
        <v>657.78483455013577</v>
      </c>
      <c r="AZ80">
        <f t="shared" si="41"/>
        <v>494.97474683058329</v>
      </c>
      <c r="BA80">
        <f t="shared" si="84"/>
        <v>494.97474683058323</v>
      </c>
    </row>
    <row r="81" spans="9:53" x14ac:dyDescent="0.25">
      <c r="I81">
        <v>71</v>
      </c>
      <c r="J81">
        <f t="shared" si="68"/>
        <v>162.78407722857838</v>
      </c>
      <c r="K81">
        <f t="shared" si="69"/>
        <v>472.75928779965835</v>
      </c>
      <c r="M81">
        <v>71</v>
      </c>
      <c r="N81">
        <f t="shared" si="70"/>
        <v>187.20168881286514</v>
      </c>
      <c r="O81">
        <f t="shared" si="71"/>
        <v>543.67318096960707</v>
      </c>
      <c r="Q81">
        <f t="shared" si="72"/>
        <v>283.655572679795</v>
      </c>
      <c r="R81">
        <f t="shared" si="73"/>
        <v>97.670446337147027</v>
      </c>
      <c r="S81">
        <f t="shared" si="66"/>
        <v>135.655572679795</v>
      </c>
      <c r="T81">
        <f t="shared" si="67"/>
        <v>97.670446337147027</v>
      </c>
      <c r="V81">
        <f t="shared" si="74"/>
        <v>283.655572679795</v>
      </c>
      <c r="W81">
        <f t="shared" si="75"/>
        <v>97.670446337147027</v>
      </c>
      <c r="X81">
        <f t="shared" si="76"/>
        <v>135.655572679795</v>
      </c>
      <c r="Y81">
        <f t="shared" si="77"/>
        <v>97.670446337147027</v>
      </c>
      <c r="AA81">
        <v>71</v>
      </c>
      <c r="AB81">
        <f t="shared" si="78"/>
        <v>146.50566950572053</v>
      </c>
      <c r="AC81">
        <f t="shared" si="79"/>
        <v>425.48335901969256</v>
      </c>
      <c r="AD81">
        <v>71</v>
      </c>
      <c r="AE81">
        <f t="shared" si="80"/>
        <v>211.6193003971519</v>
      </c>
      <c r="AF81">
        <f t="shared" si="81"/>
        <v>614.58707413955585</v>
      </c>
      <c r="AV81">
        <v>71</v>
      </c>
      <c r="AW81">
        <f t="shared" si="82"/>
        <v>227.89770812000972</v>
      </c>
      <c r="AX81">
        <f t="shared" si="83"/>
        <v>661.8630029195217</v>
      </c>
      <c r="AZ81">
        <f t="shared" ref="AZ81:AZ144" si="85">IF(AV81&lt;$BE$7,AW81,VLOOKUP($BE$7,$AV$11:$AX$370,2,0))</f>
        <v>494.97474683058329</v>
      </c>
      <c r="BA81">
        <f t="shared" si="84"/>
        <v>494.97474683058323</v>
      </c>
    </row>
    <row r="82" spans="9:53" x14ac:dyDescent="0.25">
      <c r="I82">
        <v>72</v>
      </c>
      <c r="J82">
        <f t="shared" si="68"/>
        <v>154.50849718747372</v>
      </c>
      <c r="K82">
        <f t="shared" si="69"/>
        <v>475.52825814757676</v>
      </c>
      <c r="M82">
        <v>72</v>
      </c>
      <c r="N82">
        <f t="shared" si="70"/>
        <v>177.68477176559477</v>
      </c>
      <c r="O82">
        <f t="shared" si="71"/>
        <v>546.85749686971326</v>
      </c>
      <c r="Q82">
        <f t="shared" si="72"/>
        <v>285.31695488854604</v>
      </c>
      <c r="R82">
        <f t="shared" si="73"/>
        <v>92.705098312484239</v>
      </c>
      <c r="S82">
        <f t="shared" si="66"/>
        <v>137.31695488854604</v>
      </c>
      <c r="T82">
        <f t="shared" si="67"/>
        <v>92.705098312484239</v>
      </c>
      <c r="V82">
        <f t="shared" si="74"/>
        <v>285.31695488854604</v>
      </c>
      <c r="W82">
        <f t="shared" si="75"/>
        <v>92.705098312484239</v>
      </c>
      <c r="X82">
        <f t="shared" si="76"/>
        <v>137.31695488854604</v>
      </c>
      <c r="Y82">
        <f t="shared" si="77"/>
        <v>92.705098312484239</v>
      </c>
      <c r="AA82">
        <v>72</v>
      </c>
      <c r="AB82">
        <f t="shared" si="78"/>
        <v>139.05764746872634</v>
      </c>
      <c r="AC82">
        <f t="shared" si="79"/>
        <v>427.97543233281908</v>
      </c>
      <c r="AD82">
        <v>72</v>
      </c>
      <c r="AE82">
        <f t="shared" si="80"/>
        <v>200.86104634371586</v>
      </c>
      <c r="AF82">
        <f t="shared" si="81"/>
        <v>618.18673559184981</v>
      </c>
      <c r="AV82">
        <v>72</v>
      </c>
      <c r="AW82">
        <f t="shared" si="82"/>
        <v>216.31189606246321</v>
      </c>
      <c r="AX82">
        <f t="shared" si="83"/>
        <v>665.73956140660744</v>
      </c>
      <c r="AZ82">
        <f t="shared" si="85"/>
        <v>494.97474683058329</v>
      </c>
      <c r="BA82">
        <f t="shared" si="84"/>
        <v>494.97474683058323</v>
      </c>
    </row>
    <row r="83" spans="9:53" x14ac:dyDescent="0.25">
      <c r="I83">
        <v>73</v>
      </c>
      <c r="J83">
        <f t="shared" si="68"/>
        <v>146.18585236136838</v>
      </c>
      <c r="K83">
        <f t="shared" si="69"/>
        <v>478.1523779815177</v>
      </c>
      <c r="M83">
        <v>73</v>
      </c>
      <c r="N83">
        <f t="shared" si="70"/>
        <v>168.11373021557364</v>
      </c>
      <c r="O83">
        <f t="shared" si="71"/>
        <v>549.87523467874541</v>
      </c>
      <c r="Q83">
        <f t="shared" si="72"/>
        <v>286.89142678891062</v>
      </c>
      <c r="R83">
        <f t="shared" si="73"/>
        <v>87.711511416821025</v>
      </c>
      <c r="S83">
        <f t="shared" si="66"/>
        <v>138.89142678891062</v>
      </c>
      <c r="T83">
        <f t="shared" si="67"/>
        <v>87.711511416821025</v>
      </c>
      <c r="V83">
        <f t="shared" si="74"/>
        <v>286.89142678891062</v>
      </c>
      <c r="W83">
        <f t="shared" si="75"/>
        <v>87.711511416821025</v>
      </c>
      <c r="X83">
        <f t="shared" si="76"/>
        <v>138.89142678891062</v>
      </c>
      <c r="Y83">
        <f t="shared" si="77"/>
        <v>87.711511416821025</v>
      </c>
      <c r="AA83">
        <v>73</v>
      </c>
      <c r="AB83">
        <f t="shared" si="78"/>
        <v>131.56726712523155</v>
      </c>
      <c r="AC83">
        <f t="shared" si="79"/>
        <v>430.33714018336593</v>
      </c>
      <c r="AD83">
        <v>73</v>
      </c>
      <c r="AE83">
        <f t="shared" si="80"/>
        <v>190.0416080697789</v>
      </c>
      <c r="AF83">
        <f t="shared" si="81"/>
        <v>621.59809137597301</v>
      </c>
      <c r="AV83">
        <v>73</v>
      </c>
      <c r="AW83">
        <f t="shared" si="82"/>
        <v>204.66019330591573</v>
      </c>
      <c r="AX83">
        <f t="shared" si="83"/>
        <v>669.41332917412478</v>
      </c>
      <c r="AZ83">
        <f t="shared" si="85"/>
        <v>494.97474683058329</v>
      </c>
      <c r="BA83">
        <f t="shared" si="84"/>
        <v>494.97474683058323</v>
      </c>
    </row>
    <row r="84" spans="9:53" x14ac:dyDescent="0.25">
      <c r="I84">
        <v>74</v>
      </c>
      <c r="J84">
        <f t="shared" si="68"/>
        <v>137.81867790849958</v>
      </c>
      <c r="K84">
        <f t="shared" si="69"/>
        <v>480.63084796915945</v>
      </c>
      <c r="M84">
        <v>74</v>
      </c>
      <c r="N84">
        <f t="shared" si="70"/>
        <v>158.49147959477452</v>
      </c>
      <c r="O84">
        <f t="shared" si="71"/>
        <v>552.72547516453335</v>
      </c>
      <c r="Q84">
        <f t="shared" si="72"/>
        <v>288.37850878149567</v>
      </c>
      <c r="R84">
        <f t="shared" si="73"/>
        <v>82.691206745099748</v>
      </c>
      <c r="S84">
        <f t="shared" si="66"/>
        <v>140.37850878149567</v>
      </c>
      <c r="T84">
        <f t="shared" si="67"/>
        <v>82.691206745099748</v>
      </c>
      <c r="V84">
        <f t="shared" si="74"/>
        <v>288.37850878149567</v>
      </c>
      <c r="W84">
        <f t="shared" si="75"/>
        <v>82.691206745099748</v>
      </c>
      <c r="X84">
        <f t="shared" si="76"/>
        <v>140.37850878149567</v>
      </c>
      <c r="Y84">
        <f t="shared" si="77"/>
        <v>82.691206745099748</v>
      </c>
      <c r="AA84">
        <v>74</v>
      </c>
      <c r="AB84">
        <f t="shared" si="78"/>
        <v>124.03681011764962</v>
      </c>
      <c r="AC84">
        <f t="shared" si="79"/>
        <v>432.56776317224353</v>
      </c>
      <c r="AD84">
        <v>74</v>
      </c>
      <c r="AE84">
        <f t="shared" si="80"/>
        <v>179.16428128104945</v>
      </c>
      <c r="AF84">
        <f t="shared" si="81"/>
        <v>624.82010235990731</v>
      </c>
      <c r="AV84">
        <v>74</v>
      </c>
      <c r="AW84">
        <f t="shared" si="82"/>
        <v>192.94614907189941</v>
      </c>
      <c r="AX84">
        <f t="shared" si="83"/>
        <v>672.88318715682317</v>
      </c>
      <c r="AZ84">
        <f t="shared" si="85"/>
        <v>494.97474683058329</v>
      </c>
      <c r="BA84">
        <f t="shared" si="84"/>
        <v>494.97474683058323</v>
      </c>
    </row>
    <row r="85" spans="9:53" x14ac:dyDescent="0.25">
      <c r="I85">
        <v>75</v>
      </c>
      <c r="J85">
        <f t="shared" si="68"/>
        <v>129.40952255126038</v>
      </c>
      <c r="K85">
        <f t="shared" si="69"/>
        <v>482.96291314453418</v>
      </c>
      <c r="M85">
        <v>75</v>
      </c>
      <c r="N85">
        <f t="shared" si="70"/>
        <v>148.82095093394943</v>
      </c>
      <c r="O85">
        <f t="shared" si="71"/>
        <v>555.40735011621427</v>
      </c>
      <c r="Q85">
        <f t="shared" si="72"/>
        <v>289.77774788672048</v>
      </c>
      <c r="R85">
        <f t="shared" si="73"/>
        <v>77.645713530756225</v>
      </c>
      <c r="S85">
        <f t="shared" si="66"/>
        <v>141.77774788672048</v>
      </c>
      <c r="T85">
        <f t="shared" si="67"/>
        <v>77.645713530756225</v>
      </c>
      <c r="V85">
        <f t="shared" si="74"/>
        <v>289.77774788672048</v>
      </c>
      <c r="W85">
        <f t="shared" si="75"/>
        <v>77.645713530756225</v>
      </c>
      <c r="X85">
        <f t="shared" si="76"/>
        <v>141.77774788672048</v>
      </c>
      <c r="Y85">
        <f t="shared" si="77"/>
        <v>77.645713530756225</v>
      </c>
      <c r="AA85">
        <v>75</v>
      </c>
      <c r="AB85">
        <f t="shared" si="78"/>
        <v>116.46857029613433</v>
      </c>
      <c r="AC85">
        <f t="shared" si="79"/>
        <v>434.66662183008071</v>
      </c>
      <c r="AD85">
        <v>75</v>
      </c>
      <c r="AE85">
        <f t="shared" si="80"/>
        <v>168.23237931663849</v>
      </c>
      <c r="AF85">
        <f t="shared" si="81"/>
        <v>627.85178708789442</v>
      </c>
      <c r="AV85">
        <v>75</v>
      </c>
      <c r="AW85">
        <f t="shared" si="82"/>
        <v>181.17333157176452</v>
      </c>
      <c r="AX85">
        <f t="shared" si="83"/>
        <v>676.14807840234778</v>
      </c>
      <c r="AZ85">
        <f t="shared" si="85"/>
        <v>494.97474683058329</v>
      </c>
      <c r="BA85">
        <f t="shared" si="84"/>
        <v>494.97474683058323</v>
      </c>
    </row>
    <row r="86" spans="9:53" x14ac:dyDescent="0.25">
      <c r="I86">
        <v>76</v>
      </c>
      <c r="J86">
        <f t="shared" si="68"/>
        <v>120.96094779983395</v>
      </c>
      <c r="K86">
        <f t="shared" si="69"/>
        <v>485.14786313799823</v>
      </c>
      <c r="M86">
        <v>76</v>
      </c>
      <c r="N86">
        <f t="shared" si="70"/>
        <v>139.10508996980903</v>
      </c>
      <c r="O86">
        <f t="shared" si="71"/>
        <v>557.92004260869794</v>
      </c>
      <c r="Q86">
        <f t="shared" si="72"/>
        <v>291.08871788279896</v>
      </c>
      <c r="R86">
        <f t="shared" si="73"/>
        <v>72.576568679900376</v>
      </c>
      <c r="S86">
        <f t="shared" si="66"/>
        <v>143.08871788279896</v>
      </c>
      <c r="T86">
        <f t="shared" si="67"/>
        <v>72.576568679900376</v>
      </c>
      <c r="V86">
        <f t="shared" si="74"/>
        <v>291.08871788279896</v>
      </c>
      <c r="W86">
        <f t="shared" si="75"/>
        <v>72.576568679900376</v>
      </c>
      <c r="X86">
        <f t="shared" si="76"/>
        <v>143.08871788279896</v>
      </c>
      <c r="Y86">
        <f t="shared" si="77"/>
        <v>72.576568679900376</v>
      </c>
      <c r="AA86">
        <v>76</v>
      </c>
      <c r="AB86">
        <f t="shared" si="78"/>
        <v>108.86485301985056</v>
      </c>
      <c r="AC86">
        <f t="shared" si="79"/>
        <v>436.63307682419844</v>
      </c>
      <c r="AD86">
        <v>76</v>
      </c>
      <c r="AE86">
        <f t="shared" si="80"/>
        <v>157.24923213978414</v>
      </c>
      <c r="AF86">
        <f t="shared" si="81"/>
        <v>630.69222207939765</v>
      </c>
      <c r="AV86">
        <v>76</v>
      </c>
      <c r="AW86">
        <f t="shared" si="82"/>
        <v>169.34532691976753</v>
      </c>
      <c r="AX86">
        <f t="shared" si="83"/>
        <v>679.2070083931975</v>
      </c>
      <c r="AZ86">
        <f t="shared" si="85"/>
        <v>494.97474683058329</v>
      </c>
      <c r="BA86">
        <f t="shared" si="84"/>
        <v>494.97474683058323</v>
      </c>
    </row>
    <row r="87" spans="9:53" x14ac:dyDescent="0.25">
      <c r="I87">
        <v>77</v>
      </c>
      <c r="J87">
        <f t="shared" si="68"/>
        <v>112.47552717193246</v>
      </c>
      <c r="K87">
        <f t="shared" si="69"/>
        <v>487.18503239261764</v>
      </c>
      <c r="M87">
        <v>77</v>
      </c>
      <c r="N87">
        <f t="shared" si="70"/>
        <v>129.34685624772234</v>
      </c>
      <c r="O87">
        <f t="shared" si="71"/>
        <v>560.2627872515103</v>
      </c>
      <c r="Q87">
        <f t="shared" si="72"/>
        <v>292.31101943557059</v>
      </c>
      <c r="R87">
        <f t="shared" si="73"/>
        <v>67.485316303159479</v>
      </c>
      <c r="S87">
        <f t="shared" si="66"/>
        <v>144.31101943557059</v>
      </c>
      <c r="T87">
        <f t="shared" si="67"/>
        <v>67.485316303159479</v>
      </c>
      <c r="V87">
        <f t="shared" si="74"/>
        <v>292.31101943557059</v>
      </c>
      <c r="W87">
        <f t="shared" si="75"/>
        <v>67.485316303159479</v>
      </c>
      <c r="X87">
        <f t="shared" si="76"/>
        <v>144.31101943557059</v>
      </c>
      <c r="Y87">
        <f t="shared" si="77"/>
        <v>67.485316303159479</v>
      </c>
      <c r="AA87">
        <v>77</v>
      </c>
      <c r="AB87">
        <f t="shared" si="78"/>
        <v>101.22797445473921</v>
      </c>
      <c r="AC87">
        <f t="shared" si="79"/>
        <v>438.46652915335585</v>
      </c>
      <c r="AD87">
        <v>77</v>
      </c>
      <c r="AE87">
        <f t="shared" si="80"/>
        <v>146.21818532351219</v>
      </c>
      <c r="AF87">
        <f t="shared" si="81"/>
        <v>633.34054211040291</v>
      </c>
      <c r="AV87">
        <v>77</v>
      </c>
      <c r="AW87">
        <f t="shared" si="82"/>
        <v>157.46573804070545</v>
      </c>
      <c r="AX87">
        <f t="shared" si="83"/>
        <v>682.05904534966464</v>
      </c>
      <c r="AZ87">
        <f t="shared" si="85"/>
        <v>494.97474683058329</v>
      </c>
      <c r="BA87">
        <f t="shared" si="84"/>
        <v>494.97474683058323</v>
      </c>
    </row>
    <row r="88" spans="9:53" x14ac:dyDescent="0.25">
      <c r="I88">
        <v>78</v>
      </c>
      <c r="J88">
        <f t="shared" si="68"/>
        <v>103.95584540887972</v>
      </c>
      <c r="K88">
        <f t="shared" si="69"/>
        <v>489.07380036690279</v>
      </c>
      <c r="M88">
        <v>78</v>
      </c>
      <c r="N88">
        <f t="shared" si="70"/>
        <v>119.54922222021169</v>
      </c>
      <c r="O88">
        <f t="shared" si="71"/>
        <v>562.43487042193817</v>
      </c>
      <c r="Q88">
        <f t="shared" si="72"/>
        <v>293.44428022014165</v>
      </c>
      <c r="R88">
        <f t="shared" si="73"/>
        <v>62.373507245327836</v>
      </c>
      <c r="S88">
        <f t="shared" si="66"/>
        <v>145.44428022014165</v>
      </c>
      <c r="T88">
        <f t="shared" si="67"/>
        <v>62.373507245327836</v>
      </c>
      <c r="V88">
        <f t="shared" si="74"/>
        <v>293.44428022014165</v>
      </c>
      <c r="W88">
        <f t="shared" si="75"/>
        <v>62.373507245327836</v>
      </c>
      <c r="X88">
        <f t="shared" si="76"/>
        <v>145.44428022014165</v>
      </c>
      <c r="Y88">
        <f t="shared" si="77"/>
        <v>62.373507245327836</v>
      </c>
      <c r="AA88">
        <v>78</v>
      </c>
      <c r="AB88">
        <f t="shared" si="78"/>
        <v>93.560260867991758</v>
      </c>
      <c r="AC88">
        <f t="shared" si="79"/>
        <v>440.16642033021253</v>
      </c>
      <c r="AD88">
        <v>78</v>
      </c>
      <c r="AE88">
        <f t="shared" si="80"/>
        <v>135.14259903154365</v>
      </c>
      <c r="AF88">
        <f t="shared" si="81"/>
        <v>635.79594047697367</v>
      </c>
      <c r="AV88">
        <v>78</v>
      </c>
      <c r="AW88">
        <f t="shared" si="82"/>
        <v>145.53818357243162</v>
      </c>
      <c r="AX88">
        <f t="shared" si="83"/>
        <v>684.70332051366393</v>
      </c>
      <c r="AZ88">
        <f t="shared" si="85"/>
        <v>494.97474683058329</v>
      </c>
      <c r="BA88">
        <f t="shared" si="84"/>
        <v>494.97474683058323</v>
      </c>
    </row>
    <row r="89" spans="9:53" x14ac:dyDescent="0.25">
      <c r="I89">
        <v>79</v>
      </c>
      <c r="J89">
        <f t="shared" si="68"/>
        <v>95.404497688272457</v>
      </c>
      <c r="K89">
        <f t="shared" si="69"/>
        <v>490.81359172383196</v>
      </c>
      <c r="M89">
        <v>79</v>
      </c>
      <c r="N89">
        <f t="shared" si="70"/>
        <v>109.71517234151332</v>
      </c>
      <c r="O89">
        <f t="shared" si="71"/>
        <v>564.43563048240674</v>
      </c>
      <c r="Q89">
        <f t="shared" si="72"/>
        <v>294.48815503429921</v>
      </c>
      <c r="R89">
        <f t="shared" si="73"/>
        <v>57.242698612963473</v>
      </c>
      <c r="S89">
        <f t="shared" si="66"/>
        <v>146.48815503429921</v>
      </c>
      <c r="T89">
        <f t="shared" si="67"/>
        <v>57.242698612963473</v>
      </c>
      <c r="V89">
        <f t="shared" si="74"/>
        <v>294.48815503429921</v>
      </c>
      <c r="W89">
        <f t="shared" si="75"/>
        <v>57.242698612963473</v>
      </c>
      <c r="X89">
        <f t="shared" si="76"/>
        <v>146.48815503429921</v>
      </c>
      <c r="Y89">
        <f t="shared" si="77"/>
        <v>57.242698612963473</v>
      </c>
      <c r="AA89">
        <v>79</v>
      </c>
      <c r="AB89">
        <f t="shared" si="78"/>
        <v>85.864047919445213</v>
      </c>
      <c r="AC89">
        <f t="shared" si="79"/>
        <v>441.73223255144882</v>
      </c>
      <c r="AD89">
        <v>79</v>
      </c>
      <c r="AE89">
        <f t="shared" si="80"/>
        <v>124.02584699475419</v>
      </c>
      <c r="AF89">
        <f t="shared" si="81"/>
        <v>638.05766924098157</v>
      </c>
      <c r="AV89">
        <v>79</v>
      </c>
      <c r="AW89">
        <f t="shared" si="82"/>
        <v>133.56629676358145</v>
      </c>
      <c r="AX89">
        <f t="shared" si="83"/>
        <v>687.13902841336483</v>
      </c>
      <c r="AZ89">
        <f t="shared" si="85"/>
        <v>494.97474683058329</v>
      </c>
      <c r="BA89">
        <f t="shared" si="84"/>
        <v>494.97474683058323</v>
      </c>
    </row>
    <row r="90" spans="9:53" x14ac:dyDescent="0.25">
      <c r="I90">
        <v>80</v>
      </c>
      <c r="J90">
        <f t="shared" si="68"/>
        <v>86.824088833465211</v>
      </c>
      <c r="K90">
        <f t="shared" si="69"/>
        <v>492.40387650610398</v>
      </c>
      <c r="M90">
        <v>80</v>
      </c>
      <c r="N90">
        <f t="shared" si="70"/>
        <v>99.847702158484992</v>
      </c>
      <c r="O90">
        <f t="shared" si="71"/>
        <v>566.26445798201962</v>
      </c>
      <c r="Q90">
        <f t="shared" si="72"/>
        <v>295.44232590366238</v>
      </c>
      <c r="R90">
        <f t="shared" si="73"/>
        <v>52.094453300079124</v>
      </c>
      <c r="S90">
        <f t="shared" si="66"/>
        <v>147.44232590366238</v>
      </c>
      <c r="T90">
        <f t="shared" si="67"/>
        <v>52.094453300079124</v>
      </c>
      <c r="V90">
        <f t="shared" si="74"/>
        <v>295.44232590366238</v>
      </c>
      <c r="W90">
        <f t="shared" si="75"/>
        <v>52.094453300079124</v>
      </c>
      <c r="X90">
        <f t="shared" si="76"/>
        <v>147.44232590366238</v>
      </c>
      <c r="Y90">
        <f t="shared" si="77"/>
        <v>52.094453300079124</v>
      </c>
      <c r="AA90">
        <v>80</v>
      </c>
      <c r="AB90">
        <f t="shared" si="78"/>
        <v>78.141679950118686</v>
      </c>
      <c r="AC90">
        <f t="shared" si="79"/>
        <v>443.1634888554936</v>
      </c>
      <c r="AD90">
        <v>80</v>
      </c>
      <c r="AE90">
        <f t="shared" si="80"/>
        <v>112.87131548350477</v>
      </c>
      <c r="AF90">
        <f t="shared" si="81"/>
        <v>640.12503945793526</v>
      </c>
      <c r="AV90">
        <v>80</v>
      </c>
      <c r="AW90">
        <f t="shared" si="82"/>
        <v>121.55372436685128</v>
      </c>
      <c r="AX90">
        <f t="shared" si="83"/>
        <v>689.36542710854565</v>
      </c>
      <c r="AZ90">
        <f t="shared" si="85"/>
        <v>494.97474683058329</v>
      </c>
      <c r="BA90">
        <f t="shared" si="84"/>
        <v>494.97474683058323</v>
      </c>
    </row>
    <row r="91" spans="9:53" x14ac:dyDescent="0.25">
      <c r="I91">
        <v>81</v>
      </c>
      <c r="J91">
        <f t="shared" si="68"/>
        <v>78.217232520115459</v>
      </c>
      <c r="K91">
        <f t="shared" si="69"/>
        <v>493.84417029756889</v>
      </c>
      <c r="M91">
        <v>81</v>
      </c>
      <c r="N91">
        <f t="shared" si="70"/>
        <v>89.94981739813278</v>
      </c>
      <c r="O91">
        <f t="shared" si="71"/>
        <v>567.92079584220426</v>
      </c>
      <c r="Q91">
        <f t="shared" si="72"/>
        <v>296.30650217854134</v>
      </c>
      <c r="R91">
        <f t="shared" si="73"/>
        <v>46.930339512069274</v>
      </c>
      <c r="S91">
        <f t="shared" si="66"/>
        <v>148.30650217854134</v>
      </c>
      <c r="T91">
        <f t="shared" si="67"/>
        <v>46.930339512069274</v>
      </c>
      <c r="V91">
        <f t="shared" si="74"/>
        <v>296.30650217854134</v>
      </c>
      <c r="W91">
        <f t="shared" si="75"/>
        <v>46.930339512069274</v>
      </c>
      <c r="X91">
        <f t="shared" si="76"/>
        <v>148.30650217854134</v>
      </c>
      <c r="Y91">
        <f t="shared" si="77"/>
        <v>46.930339512069274</v>
      </c>
      <c r="AA91">
        <v>81</v>
      </c>
      <c r="AB91">
        <f t="shared" si="78"/>
        <v>70.395509268103922</v>
      </c>
      <c r="AC91">
        <f t="shared" si="79"/>
        <v>444.459753267812</v>
      </c>
      <c r="AD91">
        <v>81</v>
      </c>
      <c r="AE91">
        <f t="shared" si="80"/>
        <v>101.6824022761501</v>
      </c>
      <c r="AF91">
        <f t="shared" si="81"/>
        <v>641.99742138683951</v>
      </c>
      <c r="AV91">
        <v>81</v>
      </c>
      <c r="AW91">
        <f t="shared" si="82"/>
        <v>109.50412552816165</v>
      </c>
      <c r="AX91">
        <f t="shared" si="83"/>
        <v>691.38183841659645</v>
      </c>
      <c r="AZ91">
        <f t="shared" si="85"/>
        <v>494.97474683058329</v>
      </c>
      <c r="BA91">
        <f t="shared" si="84"/>
        <v>494.97474683058323</v>
      </c>
    </row>
    <row r="92" spans="9:53" x14ac:dyDescent="0.25">
      <c r="I92">
        <v>82</v>
      </c>
      <c r="J92">
        <f t="shared" si="68"/>
        <v>69.586550480032841</v>
      </c>
      <c r="K92">
        <f t="shared" si="69"/>
        <v>495.13403437078512</v>
      </c>
      <c r="M92">
        <v>82</v>
      </c>
      <c r="N92">
        <f t="shared" si="70"/>
        <v>80.024533052037768</v>
      </c>
      <c r="O92">
        <f t="shared" si="71"/>
        <v>569.4041395264029</v>
      </c>
      <c r="Q92">
        <f t="shared" si="72"/>
        <v>297.08042062247108</v>
      </c>
      <c r="R92">
        <f t="shared" si="73"/>
        <v>41.751930288019707</v>
      </c>
      <c r="S92">
        <f t="shared" si="66"/>
        <v>149.08042062247108</v>
      </c>
      <c r="T92">
        <f t="shared" si="67"/>
        <v>41.751930288019707</v>
      </c>
      <c r="V92">
        <f t="shared" si="74"/>
        <v>297.08042062247108</v>
      </c>
      <c r="W92">
        <f t="shared" si="75"/>
        <v>41.751930288019707</v>
      </c>
      <c r="X92">
        <f t="shared" si="76"/>
        <v>149.08042062247108</v>
      </c>
      <c r="Y92">
        <f t="shared" si="77"/>
        <v>41.751930288019707</v>
      </c>
      <c r="AA92">
        <v>82</v>
      </c>
      <c r="AB92">
        <f t="shared" si="78"/>
        <v>62.627895432029561</v>
      </c>
      <c r="AC92">
        <f t="shared" si="79"/>
        <v>445.62063093370659</v>
      </c>
      <c r="AD92">
        <v>82</v>
      </c>
      <c r="AE92">
        <f t="shared" si="80"/>
        <v>90.462515624042695</v>
      </c>
      <c r="AF92">
        <f t="shared" si="81"/>
        <v>643.67424468202069</v>
      </c>
      <c r="AV92">
        <v>82</v>
      </c>
      <c r="AW92">
        <f t="shared" si="82"/>
        <v>97.421170672045974</v>
      </c>
      <c r="AX92">
        <f t="shared" si="83"/>
        <v>693.18764811909921</v>
      </c>
      <c r="AZ92">
        <f t="shared" si="85"/>
        <v>494.97474683058329</v>
      </c>
      <c r="BA92">
        <f t="shared" si="84"/>
        <v>494.97474683058323</v>
      </c>
    </row>
    <row r="93" spans="9:53" x14ac:dyDescent="0.25">
      <c r="I93">
        <v>83</v>
      </c>
      <c r="J93">
        <f t="shared" si="68"/>
        <v>60.934671702573745</v>
      </c>
      <c r="K93">
        <f t="shared" si="69"/>
        <v>496.27307582066101</v>
      </c>
      <c r="M93">
        <v>83</v>
      </c>
      <c r="N93">
        <f t="shared" si="70"/>
        <v>70.074872457959813</v>
      </c>
      <c r="O93">
        <f t="shared" si="71"/>
        <v>570.71403719376019</v>
      </c>
      <c r="Q93">
        <f t="shared" si="72"/>
        <v>297.76384549239657</v>
      </c>
      <c r="R93">
        <f t="shared" si="73"/>
        <v>36.560803021544245</v>
      </c>
      <c r="S93">
        <f t="shared" si="66"/>
        <v>149.76384549239657</v>
      </c>
      <c r="T93">
        <f t="shared" si="67"/>
        <v>36.560803021544245</v>
      </c>
      <c r="V93">
        <f t="shared" si="74"/>
        <v>297.76384549239657</v>
      </c>
      <c r="W93">
        <f t="shared" si="75"/>
        <v>36.560803021544245</v>
      </c>
      <c r="X93">
        <f t="shared" si="76"/>
        <v>149.76384549239657</v>
      </c>
      <c r="Y93">
        <f t="shared" si="77"/>
        <v>36.560803021544245</v>
      </c>
      <c r="AA93">
        <v>83</v>
      </c>
      <c r="AB93">
        <f t="shared" si="78"/>
        <v>54.841204532316368</v>
      </c>
      <c r="AC93">
        <f t="shared" si="79"/>
        <v>446.64576823859488</v>
      </c>
      <c r="AD93">
        <v>83</v>
      </c>
      <c r="AE93">
        <f t="shared" si="80"/>
        <v>79.215073213345875</v>
      </c>
      <c r="AF93">
        <f t="shared" si="81"/>
        <v>645.15499856685926</v>
      </c>
      <c r="AV93">
        <v>83</v>
      </c>
      <c r="AW93">
        <f t="shared" si="82"/>
        <v>85.308540383603244</v>
      </c>
      <c r="AX93">
        <f t="shared" si="83"/>
        <v>694.78230614892539</v>
      </c>
      <c r="AZ93">
        <f t="shared" si="85"/>
        <v>494.97474683058329</v>
      </c>
      <c r="BA93">
        <f t="shared" si="84"/>
        <v>494.97474683058323</v>
      </c>
    </row>
    <row r="94" spans="9:53" x14ac:dyDescent="0.25">
      <c r="I94">
        <v>84</v>
      </c>
      <c r="J94">
        <f t="shared" si="68"/>
        <v>52.264231633826725</v>
      </c>
      <c r="K94">
        <f t="shared" si="69"/>
        <v>497.26094768413662</v>
      </c>
      <c r="M94">
        <v>84</v>
      </c>
      <c r="N94">
        <f t="shared" si="70"/>
        <v>60.10386637890074</v>
      </c>
      <c r="O94">
        <f t="shared" si="71"/>
        <v>571.85008983675709</v>
      </c>
      <c r="Q94">
        <f t="shared" si="72"/>
        <v>298.35656861048199</v>
      </c>
      <c r="R94">
        <f t="shared" si="73"/>
        <v>31.358538980296036</v>
      </c>
      <c r="S94">
        <f t="shared" si="66"/>
        <v>150.35656861048199</v>
      </c>
      <c r="T94">
        <f t="shared" si="67"/>
        <v>31.358538980296036</v>
      </c>
      <c r="V94">
        <f t="shared" si="74"/>
        <v>298.35656861048199</v>
      </c>
      <c r="W94">
        <f t="shared" si="75"/>
        <v>31.358538980296036</v>
      </c>
      <c r="X94">
        <f t="shared" si="76"/>
        <v>150.35656861048199</v>
      </c>
      <c r="Y94">
        <f t="shared" si="77"/>
        <v>31.358538980296036</v>
      </c>
      <c r="AA94">
        <v>84</v>
      </c>
      <c r="AB94">
        <f t="shared" si="78"/>
        <v>47.037808470444055</v>
      </c>
      <c r="AC94">
        <f t="shared" si="79"/>
        <v>447.53485291572298</v>
      </c>
      <c r="AD94">
        <v>84</v>
      </c>
      <c r="AE94">
        <f t="shared" si="80"/>
        <v>67.943501123974741</v>
      </c>
      <c r="AF94">
        <f t="shared" si="81"/>
        <v>646.43923198937762</v>
      </c>
      <c r="AV94">
        <v>84</v>
      </c>
      <c r="AW94">
        <f t="shared" si="82"/>
        <v>73.169924287357418</v>
      </c>
      <c r="AX94">
        <f t="shared" si="83"/>
        <v>696.16532675779126</v>
      </c>
      <c r="AZ94">
        <f t="shared" si="85"/>
        <v>494.97474683058329</v>
      </c>
      <c r="BA94">
        <f t="shared" si="84"/>
        <v>494.97474683058323</v>
      </c>
    </row>
    <row r="95" spans="9:53" x14ac:dyDescent="0.25">
      <c r="I95">
        <v>85</v>
      </c>
      <c r="J95">
        <f t="shared" si="68"/>
        <v>43.577871373829069</v>
      </c>
      <c r="K95">
        <f t="shared" si="69"/>
        <v>498.09734904587276</v>
      </c>
      <c r="M95">
        <v>85</v>
      </c>
      <c r="N95">
        <f t="shared" si="70"/>
        <v>50.114552079903433</v>
      </c>
      <c r="O95">
        <f t="shared" si="71"/>
        <v>572.81195140275372</v>
      </c>
      <c r="Q95">
        <f t="shared" si="72"/>
        <v>298.85840942752367</v>
      </c>
      <c r="R95">
        <f t="shared" si="73"/>
        <v>26.146722824297441</v>
      </c>
      <c r="S95">
        <f t="shared" si="66"/>
        <v>150.85840942752367</v>
      </c>
      <c r="T95">
        <f t="shared" si="67"/>
        <v>26.146722824297441</v>
      </c>
      <c r="V95">
        <f t="shared" si="74"/>
        <v>298.85840942752367</v>
      </c>
      <c r="W95">
        <f t="shared" si="75"/>
        <v>26.146722824297441</v>
      </c>
      <c r="X95">
        <f t="shared" si="76"/>
        <v>150.85840942752367</v>
      </c>
      <c r="Y95">
        <f t="shared" si="77"/>
        <v>26.146722824297441</v>
      </c>
      <c r="AA95">
        <v>85</v>
      </c>
      <c r="AB95">
        <f t="shared" si="78"/>
        <v>39.220084236446162</v>
      </c>
      <c r="AC95">
        <f t="shared" si="79"/>
        <v>448.28761414128547</v>
      </c>
      <c r="AD95">
        <v>85</v>
      </c>
      <c r="AE95">
        <f t="shared" si="80"/>
        <v>56.65123278597779</v>
      </c>
      <c r="AF95">
        <f t="shared" si="81"/>
        <v>647.52655375963457</v>
      </c>
      <c r="AV95">
        <v>85</v>
      </c>
      <c r="AW95">
        <f t="shared" si="82"/>
        <v>61.009019923360697</v>
      </c>
      <c r="AX95">
        <f t="shared" si="83"/>
        <v>697.33628866422191</v>
      </c>
      <c r="AZ95">
        <f t="shared" si="85"/>
        <v>494.97474683058329</v>
      </c>
      <c r="BA95">
        <f t="shared" si="84"/>
        <v>494.97474683058323</v>
      </c>
    </row>
    <row r="96" spans="9:53" x14ac:dyDescent="0.25">
      <c r="I96">
        <v>86</v>
      </c>
      <c r="J96">
        <f t="shared" si="68"/>
        <v>34.878236872062729</v>
      </c>
      <c r="K96">
        <f t="shared" si="69"/>
        <v>498.78202512991209</v>
      </c>
      <c r="M96">
        <v>86</v>
      </c>
      <c r="N96">
        <f t="shared" si="70"/>
        <v>40.109972402872138</v>
      </c>
      <c r="O96">
        <f t="shared" si="71"/>
        <v>573.59932889939887</v>
      </c>
      <c r="Q96">
        <f t="shared" si="72"/>
        <v>299.26921507794725</v>
      </c>
      <c r="R96">
        <f t="shared" si="73"/>
        <v>20.926942123237637</v>
      </c>
      <c r="S96">
        <f t="shared" si="66"/>
        <v>151.26921507794725</v>
      </c>
      <c r="T96">
        <f t="shared" si="67"/>
        <v>20.926942123237637</v>
      </c>
      <c r="V96">
        <f t="shared" si="74"/>
        <v>299.26921507794725</v>
      </c>
      <c r="W96">
        <f t="shared" si="75"/>
        <v>20.926942123237637</v>
      </c>
      <c r="X96">
        <f t="shared" si="76"/>
        <v>151.26921507794725</v>
      </c>
      <c r="Y96">
        <f t="shared" si="77"/>
        <v>20.926942123237637</v>
      </c>
      <c r="AA96">
        <v>86</v>
      </c>
      <c r="AB96">
        <f t="shared" si="78"/>
        <v>31.390413184856456</v>
      </c>
      <c r="AC96">
        <f t="shared" si="79"/>
        <v>448.90382261692088</v>
      </c>
      <c r="AD96">
        <v>86</v>
      </c>
      <c r="AE96">
        <f t="shared" si="80"/>
        <v>45.341707933681548</v>
      </c>
      <c r="AF96">
        <f t="shared" si="81"/>
        <v>648.41663266888577</v>
      </c>
      <c r="AV96">
        <v>86</v>
      </c>
      <c r="AW96">
        <f t="shared" si="82"/>
        <v>48.829531620887821</v>
      </c>
      <c r="AX96">
        <f t="shared" si="83"/>
        <v>698.29483518187692</v>
      </c>
      <c r="AZ96">
        <f t="shared" si="85"/>
        <v>494.97474683058329</v>
      </c>
      <c r="BA96">
        <f t="shared" si="84"/>
        <v>494.97474683058323</v>
      </c>
    </row>
    <row r="97" spans="9:53" x14ac:dyDescent="0.25">
      <c r="I97">
        <v>87</v>
      </c>
      <c r="J97">
        <f t="shared" si="68"/>
        <v>26.167978121471982</v>
      </c>
      <c r="K97">
        <f t="shared" si="69"/>
        <v>499.3147673772869</v>
      </c>
      <c r="M97">
        <v>87</v>
      </c>
      <c r="N97">
        <f t="shared" si="70"/>
        <v>30.093174839692782</v>
      </c>
      <c r="O97">
        <f t="shared" si="71"/>
        <v>574.21198248387998</v>
      </c>
      <c r="Q97">
        <f t="shared" si="72"/>
        <v>299.58886042637215</v>
      </c>
      <c r="R97">
        <f t="shared" si="73"/>
        <v>15.700786872883191</v>
      </c>
      <c r="S97">
        <f t="shared" si="66"/>
        <v>151.58886042637215</v>
      </c>
      <c r="T97">
        <f t="shared" si="67"/>
        <v>15.700786872883191</v>
      </c>
      <c r="V97">
        <f t="shared" si="74"/>
        <v>299.58886042637215</v>
      </c>
      <c r="W97">
        <f t="shared" si="75"/>
        <v>15.700786872883191</v>
      </c>
      <c r="X97">
        <f t="shared" si="76"/>
        <v>151.58886042637215</v>
      </c>
      <c r="Y97">
        <f t="shared" si="77"/>
        <v>15.700786872883191</v>
      </c>
      <c r="AA97">
        <v>87</v>
      </c>
      <c r="AB97">
        <f t="shared" si="78"/>
        <v>23.551180309324785</v>
      </c>
      <c r="AC97">
        <f t="shared" si="79"/>
        <v>449.3832906395582</v>
      </c>
      <c r="AD97">
        <v>87</v>
      </c>
      <c r="AE97">
        <f t="shared" si="80"/>
        <v>34.018371557913575</v>
      </c>
      <c r="AF97">
        <f t="shared" si="81"/>
        <v>649.10919759047295</v>
      </c>
      <c r="AV97">
        <v>87</v>
      </c>
      <c r="AW97">
        <f t="shared" si="82"/>
        <v>36.63516937006078</v>
      </c>
      <c r="AX97">
        <f t="shared" si="83"/>
        <v>699.0406743282017</v>
      </c>
      <c r="AZ97">
        <f t="shared" si="85"/>
        <v>494.97474683058329</v>
      </c>
      <c r="BA97">
        <f t="shared" si="84"/>
        <v>494.97474683058323</v>
      </c>
    </row>
    <row r="98" spans="9:53" x14ac:dyDescent="0.25">
      <c r="I98">
        <v>88</v>
      </c>
      <c r="J98">
        <f t="shared" si="68"/>
        <v>17.449748351250541</v>
      </c>
      <c r="K98">
        <f t="shared" si="69"/>
        <v>499.6954135095479</v>
      </c>
      <c r="M98">
        <v>88</v>
      </c>
      <c r="N98">
        <f t="shared" si="70"/>
        <v>20.067210603938122</v>
      </c>
      <c r="O98">
        <f t="shared" si="71"/>
        <v>574.64972553598011</v>
      </c>
      <c r="Q98">
        <f t="shared" si="72"/>
        <v>299.81724810572871</v>
      </c>
      <c r="R98">
        <f t="shared" si="73"/>
        <v>10.469849010750323</v>
      </c>
      <c r="S98">
        <f t="shared" si="66"/>
        <v>151.81724810572871</v>
      </c>
      <c r="T98">
        <f t="shared" si="67"/>
        <v>10.469849010750323</v>
      </c>
      <c r="V98">
        <f t="shared" si="74"/>
        <v>299.81724810572871</v>
      </c>
      <c r="W98">
        <f t="shared" si="75"/>
        <v>10.469849010750323</v>
      </c>
      <c r="X98">
        <f t="shared" si="76"/>
        <v>151.81724810572871</v>
      </c>
      <c r="Y98">
        <f t="shared" si="77"/>
        <v>10.469849010750323</v>
      </c>
      <c r="AA98">
        <v>88</v>
      </c>
      <c r="AB98">
        <f t="shared" si="78"/>
        <v>15.704773516125487</v>
      </c>
      <c r="AC98">
        <f t="shared" si="79"/>
        <v>449.72587215859312</v>
      </c>
      <c r="AD98">
        <v>88</v>
      </c>
      <c r="AE98">
        <f t="shared" si="80"/>
        <v>22.684672856625703</v>
      </c>
      <c r="AF98">
        <f t="shared" si="81"/>
        <v>649.60403756241226</v>
      </c>
      <c r="AV98">
        <v>88</v>
      </c>
      <c r="AW98">
        <f t="shared" si="82"/>
        <v>24.429647691750755</v>
      </c>
      <c r="AX98">
        <f t="shared" si="83"/>
        <v>699.57357891336699</v>
      </c>
      <c r="AZ98">
        <f t="shared" si="85"/>
        <v>494.97474683058329</v>
      </c>
      <c r="BA98">
        <f t="shared" si="84"/>
        <v>494.97474683058323</v>
      </c>
    </row>
    <row r="99" spans="9:53" x14ac:dyDescent="0.25">
      <c r="I99">
        <v>89</v>
      </c>
      <c r="J99">
        <f t="shared" si="68"/>
        <v>8.7262032186416878</v>
      </c>
      <c r="K99">
        <f t="shared" si="69"/>
        <v>499.92384757819565</v>
      </c>
      <c r="M99">
        <v>89</v>
      </c>
      <c r="N99">
        <f t="shared" si="70"/>
        <v>10.035133701437941</v>
      </c>
      <c r="O99">
        <f t="shared" si="71"/>
        <v>574.91242471492501</v>
      </c>
      <c r="Q99">
        <f t="shared" si="72"/>
        <v>299.95430854691739</v>
      </c>
      <c r="R99">
        <f t="shared" si="73"/>
        <v>5.2357219311850125</v>
      </c>
      <c r="S99">
        <f t="shared" si="66"/>
        <v>151.95430854691739</v>
      </c>
      <c r="T99">
        <f t="shared" si="67"/>
        <v>5.2357219311850125</v>
      </c>
      <c r="V99">
        <f t="shared" si="74"/>
        <v>299.95430854691739</v>
      </c>
      <c r="W99">
        <f t="shared" si="75"/>
        <v>5.2357219311850125</v>
      </c>
      <c r="X99">
        <f t="shared" si="76"/>
        <v>151.95430854691739</v>
      </c>
      <c r="Y99">
        <f t="shared" si="77"/>
        <v>5.2357219311850125</v>
      </c>
      <c r="AA99">
        <v>89</v>
      </c>
      <c r="AB99">
        <f t="shared" si="78"/>
        <v>7.8535828967775192</v>
      </c>
      <c r="AC99">
        <f t="shared" si="79"/>
        <v>449.93146282037605</v>
      </c>
      <c r="AD99">
        <v>89</v>
      </c>
      <c r="AE99">
        <f t="shared" si="80"/>
        <v>11.344064184234195</v>
      </c>
      <c r="AF99">
        <f t="shared" si="81"/>
        <v>649.90100185165431</v>
      </c>
      <c r="AV99">
        <v>89</v>
      </c>
      <c r="AW99">
        <f t="shared" si="82"/>
        <v>12.216684506098364</v>
      </c>
      <c r="AX99">
        <f t="shared" si="83"/>
        <v>699.89338660947385</v>
      </c>
      <c r="AZ99">
        <f t="shared" si="85"/>
        <v>494.97474683058329</v>
      </c>
      <c r="BA99">
        <f t="shared" si="84"/>
        <v>494.97474683058323</v>
      </c>
    </row>
    <row r="100" spans="9:53" x14ac:dyDescent="0.25">
      <c r="I100">
        <v>90</v>
      </c>
      <c r="J100">
        <f t="shared" si="68"/>
        <v>3.06287113727155E-14</v>
      </c>
      <c r="K100">
        <f t="shared" si="69"/>
        <v>500</v>
      </c>
      <c r="M100">
        <v>90</v>
      </c>
      <c r="N100">
        <f t="shared" si="70"/>
        <v>3.5223018078622825E-14</v>
      </c>
      <c r="O100">
        <f t="shared" si="71"/>
        <v>575</v>
      </c>
      <c r="Q100">
        <f t="shared" si="72"/>
        <v>300</v>
      </c>
      <c r="R100">
        <f t="shared" si="73"/>
        <v>1.83772268236293E-14</v>
      </c>
      <c r="S100">
        <f t="shared" si="66"/>
        <v>152</v>
      </c>
      <c r="T100">
        <f t="shared" si="67"/>
        <v>1.83772268236293E-14</v>
      </c>
      <c r="V100">
        <f t="shared" si="74"/>
        <v>300</v>
      </c>
      <c r="W100">
        <f t="shared" si="75"/>
        <v>1.83772268236293E-14</v>
      </c>
      <c r="X100">
        <f t="shared" si="76"/>
        <v>152</v>
      </c>
      <c r="Y100">
        <f t="shared" si="77"/>
        <v>1.83772268236293E-14</v>
      </c>
      <c r="AA100">
        <v>90</v>
      </c>
      <c r="AB100">
        <f t="shared" si="78"/>
        <v>2.756584023544395E-14</v>
      </c>
      <c r="AC100">
        <f t="shared" si="79"/>
        <v>450</v>
      </c>
      <c r="AD100">
        <v>90</v>
      </c>
      <c r="AE100">
        <f t="shared" si="80"/>
        <v>3.981732478453015E-14</v>
      </c>
      <c r="AF100">
        <f t="shared" si="81"/>
        <v>650</v>
      </c>
      <c r="AV100">
        <v>90</v>
      </c>
      <c r="AW100">
        <f t="shared" si="82"/>
        <v>4.28801959218017E-14</v>
      </c>
      <c r="AX100">
        <f t="shared" si="83"/>
        <v>700</v>
      </c>
      <c r="AZ100">
        <f t="shared" si="85"/>
        <v>494.97474683058329</v>
      </c>
      <c r="BA100">
        <f t="shared" si="84"/>
        <v>494.97474683058323</v>
      </c>
    </row>
    <row r="101" spans="9:53" x14ac:dyDescent="0.25">
      <c r="I101">
        <v>91</v>
      </c>
      <c r="J101">
        <f t="shared" si="68"/>
        <v>-8.7262032186417393</v>
      </c>
      <c r="K101">
        <f t="shared" si="69"/>
        <v>499.92384757819565</v>
      </c>
      <c r="M101">
        <v>91</v>
      </c>
      <c r="N101">
        <f t="shared" si="70"/>
        <v>-10.035133701437999</v>
      </c>
      <c r="O101">
        <f t="shared" si="71"/>
        <v>574.91242471492501</v>
      </c>
      <c r="Q101">
        <f t="shared" si="72"/>
        <v>299.95430854691739</v>
      </c>
      <c r="R101">
        <f t="shared" si="73"/>
        <v>-5.2357219311850427</v>
      </c>
      <c r="S101">
        <f t="shared" si="66"/>
        <v>151.95430854691739</v>
      </c>
      <c r="T101">
        <f t="shared" si="67"/>
        <v>-5.2357219311850427</v>
      </c>
      <c r="V101">
        <f t="shared" si="74"/>
        <v>299.95430854691739</v>
      </c>
      <c r="W101">
        <f t="shared" si="75"/>
        <v>-5.2357219311850427</v>
      </c>
      <c r="X101">
        <f t="shared" si="76"/>
        <v>151.95430854691739</v>
      </c>
      <c r="Y101">
        <f t="shared" si="77"/>
        <v>-5.2357219311850427</v>
      </c>
      <c r="AA101">
        <v>91</v>
      </c>
      <c r="AB101">
        <f t="shared" si="78"/>
        <v>-7.8535828967775645</v>
      </c>
      <c r="AC101">
        <f t="shared" si="79"/>
        <v>449.93146282037605</v>
      </c>
      <c r="AD101">
        <v>91</v>
      </c>
      <c r="AE101">
        <f t="shared" si="80"/>
        <v>-11.344064184234259</v>
      </c>
      <c r="AF101">
        <f t="shared" si="81"/>
        <v>649.90100185165431</v>
      </c>
      <c r="AV101">
        <v>91</v>
      </c>
      <c r="AW101">
        <f t="shared" si="82"/>
        <v>-12.216684506098433</v>
      </c>
      <c r="AX101">
        <f t="shared" si="83"/>
        <v>699.89338660947385</v>
      </c>
      <c r="AZ101">
        <f t="shared" si="85"/>
        <v>494.97474683058329</v>
      </c>
      <c r="BA101">
        <f t="shared" si="84"/>
        <v>494.97474683058323</v>
      </c>
    </row>
    <row r="102" spans="9:53" x14ac:dyDescent="0.25">
      <c r="I102">
        <v>92</v>
      </c>
      <c r="J102">
        <f t="shared" si="68"/>
        <v>-17.449748351250367</v>
      </c>
      <c r="K102">
        <f t="shared" si="69"/>
        <v>499.6954135095479</v>
      </c>
      <c r="M102">
        <v>92</v>
      </c>
      <c r="N102">
        <f t="shared" si="70"/>
        <v>-20.067210603937923</v>
      </c>
      <c r="O102">
        <f t="shared" si="71"/>
        <v>574.64972553598011</v>
      </c>
      <c r="Q102">
        <f t="shared" si="72"/>
        <v>299.81724810572871</v>
      </c>
      <c r="R102">
        <f t="shared" si="73"/>
        <v>-10.46984901075022</v>
      </c>
      <c r="S102">
        <f t="shared" si="66"/>
        <v>151.81724810572871</v>
      </c>
      <c r="T102">
        <f t="shared" si="67"/>
        <v>-10.46984901075022</v>
      </c>
      <c r="V102">
        <f t="shared" si="74"/>
        <v>299.81724810572871</v>
      </c>
      <c r="W102">
        <f t="shared" si="75"/>
        <v>-10.46984901075022</v>
      </c>
      <c r="X102">
        <f t="shared" si="76"/>
        <v>151.81724810572871</v>
      </c>
      <c r="Y102">
        <f t="shared" si="77"/>
        <v>-10.46984901075022</v>
      </c>
      <c r="AA102">
        <v>92</v>
      </c>
      <c r="AB102">
        <f t="shared" si="78"/>
        <v>-15.70477351612533</v>
      </c>
      <c r="AC102">
        <f t="shared" si="79"/>
        <v>449.72587215859312</v>
      </c>
      <c r="AD102">
        <v>92</v>
      </c>
      <c r="AE102">
        <f t="shared" si="80"/>
        <v>-22.684672856625475</v>
      </c>
      <c r="AF102">
        <f t="shared" si="81"/>
        <v>649.60403756241226</v>
      </c>
      <c r="AV102">
        <v>92</v>
      </c>
      <c r="AW102">
        <f t="shared" si="82"/>
        <v>-24.429647691750514</v>
      </c>
      <c r="AX102">
        <f t="shared" si="83"/>
        <v>699.57357891336699</v>
      </c>
      <c r="AZ102">
        <f t="shared" si="85"/>
        <v>494.97474683058329</v>
      </c>
      <c r="BA102">
        <f t="shared" si="84"/>
        <v>494.97474683058323</v>
      </c>
    </row>
    <row r="103" spans="9:53" x14ac:dyDescent="0.25">
      <c r="I103">
        <v>93</v>
      </c>
      <c r="J103">
        <f t="shared" si="68"/>
        <v>-26.167978121471808</v>
      </c>
      <c r="K103">
        <f t="shared" si="69"/>
        <v>499.3147673772869</v>
      </c>
      <c r="M103">
        <v>93</v>
      </c>
      <c r="N103">
        <f t="shared" si="70"/>
        <v>-30.09317483969258</v>
      </c>
      <c r="O103">
        <f t="shared" si="71"/>
        <v>574.21198248387998</v>
      </c>
      <c r="Q103">
        <f t="shared" si="72"/>
        <v>299.58886042637215</v>
      </c>
      <c r="R103">
        <f t="shared" si="73"/>
        <v>-15.700786872883086</v>
      </c>
      <c r="S103">
        <f t="shared" si="66"/>
        <v>151.58886042637215</v>
      </c>
      <c r="T103">
        <f t="shared" si="67"/>
        <v>-15.700786872883086</v>
      </c>
      <c r="V103">
        <f t="shared" si="74"/>
        <v>299.58886042637215</v>
      </c>
      <c r="W103">
        <f t="shared" si="75"/>
        <v>-15.700786872883086</v>
      </c>
      <c r="X103">
        <f t="shared" si="76"/>
        <v>151.58886042637215</v>
      </c>
      <c r="Y103">
        <f t="shared" si="77"/>
        <v>-15.700786872883086</v>
      </c>
      <c r="AA103">
        <v>93</v>
      </c>
      <c r="AB103">
        <f t="shared" si="78"/>
        <v>-23.551180309324629</v>
      </c>
      <c r="AC103">
        <f t="shared" si="79"/>
        <v>449.3832906395582</v>
      </c>
      <c r="AD103">
        <v>93</v>
      </c>
      <c r="AE103">
        <f t="shared" si="80"/>
        <v>-34.018371557913355</v>
      </c>
      <c r="AF103">
        <f t="shared" si="81"/>
        <v>649.10919759047295</v>
      </c>
      <c r="AV103">
        <v>93</v>
      </c>
      <c r="AW103">
        <f t="shared" si="82"/>
        <v>-36.635169370060531</v>
      </c>
      <c r="AX103">
        <f t="shared" si="83"/>
        <v>699.0406743282017</v>
      </c>
      <c r="AZ103">
        <f t="shared" si="85"/>
        <v>494.97474683058329</v>
      </c>
      <c r="BA103">
        <f t="shared" si="84"/>
        <v>494.97474683058323</v>
      </c>
    </row>
    <row r="104" spans="9:53" x14ac:dyDescent="0.25">
      <c r="I104">
        <v>94</v>
      </c>
      <c r="J104">
        <f t="shared" si="68"/>
        <v>-34.878236872062665</v>
      </c>
      <c r="K104">
        <f t="shared" si="69"/>
        <v>498.78202512991209</v>
      </c>
      <c r="M104">
        <v>94</v>
      </c>
      <c r="N104">
        <f t="shared" si="70"/>
        <v>-40.109972402872067</v>
      </c>
      <c r="O104">
        <f t="shared" si="71"/>
        <v>573.59932889939887</v>
      </c>
      <c r="Q104">
        <f t="shared" si="72"/>
        <v>299.26921507794725</v>
      </c>
      <c r="R104">
        <f t="shared" si="73"/>
        <v>-20.926942123237598</v>
      </c>
      <c r="S104">
        <f t="shared" si="66"/>
        <v>151.26921507794725</v>
      </c>
      <c r="T104">
        <f t="shared" si="67"/>
        <v>-20.926942123237598</v>
      </c>
      <c r="V104">
        <f t="shared" si="74"/>
        <v>299.26921507794725</v>
      </c>
      <c r="W104">
        <f t="shared" si="75"/>
        <v>-20.926942123237598</v>
      </c>
      <c r="X104">
        <f t="shared" si="76"/>
        <v>151.26921507794725</v>
      </c>
      <c r="Y104">
        <f t="shared" si="77"/>
        <v>-20.926942123237598</v>
      </c>
      <c r="AA104">
        <v>94</v>
      </c>
      <c r="AB104">
        <f t="shared" si="78"/>
        <v>-31.390413184856399</v>
      </c>
      <c r="AC104">
        <f t="shared" si="79"/>
        <v>448.90382261692088</v>
      </c>
      <c r="AD104">
        <v>94</v>
      </c>
      <c r="AE104">
        <f t="shared" si="80"/>
        <v>-45.341707933681462</v>
      </c>
      <c r="AF104">
        <f t="shared" si="81"/>
        <v>648.41663266888577</v>
      </c>
      <c r="AV104">
        <v>94</v>
      </c>
      <c r="AW104">
        <f t="shared" si="82"/>
        <v>-48.829531620887728</v>
      </c>
      <c r="AX104">
        <f t="shared" si="83"/>
        <v>698.29483518187692</v>
      </c>
      <c r="AZ104">
        <f t="shared" si="85"/>
        <v>494.97474683058329</v>
      </c>
      <c r="BA104">
        <f t="shared" si="84"/>
        <v>494.97474683058323</v>
      </c>
    </row>
    <row r="105" spans="9:53" x14ac:dyDescent="0.25">
      <c r="I105">
        <v>95</v>
      </c>
      <c r="J105">
        <f t="shared" si="68"/>
        <v>-43.577871373829119</v>
      </c>
      <c r="K105">
        <f t="shared" si="69"/>
        <v>498.09734904587276</v>
      </c>
      <c r="M105">
        <v>95</v>
      </c>
      <c r="N105">
        <f t="shared" si="70"/>
        <v>-50.114552079903483</v>
      </c>
      <c r="O105">
        <f t="shared" si="71"/>
        <v>572.81195140275372</v>
      </c>
      <c r="Q105">
        <f t="shared" si="72"/>
        <v>298.85840942752367</v>
      </c>
      <c r="R105">
        <f t="shared" si="73"/>
        <v>-26.14672282429747</v>
      </c>
      <c r="S105">
        <f t="shared" si="66"/>
        <v>150.85840942752367</v>
      </c>
      <c r="T105">
        <f t="shared" si="67"/>
        <v>-26.14672282429747</v>
      </c>
      <c r="V105">
        <f t="shared" si="74"/>
        <v>298.85840942752367</v>
      </c>
      <c r="W105">
        <f t="shared" si="75"/>
        <v>-26.14672282429747</v>
      </c>
      <c r="X105">
        <f t="shared" si="76"/>
        <v>150.85840942752367</v>
      </c>
      <c r="Y105">
        <f t="shared" si="77"/>
        <v>-26.14672282429747</v>
      </c>
      <c r="AA105">
        <v>95</v>
      </c>
      <c r="AB105">
        <f t="shared" si="78"/>
        <v>-39.220084236446205</v>
      </c>
      <c r="AC105">
        <f t="shared" si="79"/>
        <v>448.28761414128547</v>
      </c>
      <c r="AD105">
        <v>95</v>
      </c>
      <c r="AE105">
        <f t="shared" si="80"/>
        <v>-56.651232785977854</v>
      </c>
      <c r="AF105">
        <f t="shared" si="81"/>
        <v>647.52655375963457</v>
      </c>
      <c r="AV105">
        <v>95</v>
      </c>
      <c r="AW105">
        <f t="shared" si="82"/>
        <v>-61.009019923360768</v>
      </c>
      <c r="AX105">
        <f t="shared" si="83"/>
        <v>697.33628866422191</v>
      </c>
      <c r="AZ105">
        <f t="shared" si="85"/>
        <v>494.97474683058329</v>
      </c>
      <c r="BA105">
        <f t="shared" si="84"/>
        <v>494.97474683058323</v>
      </c>
    </row>
    <row r="106" spans="9:53" x14ac:dyDescent="0.25">
      <c r="I106">
        <v>96</v>
      </c>
      <c r="J106">
        <f t="shared" si="68"/>
        <v>-52.264231633826668</v>
      </c>
      <c r="K106">
        <f t="shared" si="69"/>
        <v>497.26094768413668</v>
      </c>
      <c r="M106">
        <v>96</v>
      </c>
      <c r="N106">
        <f t="shared" si="70"/>
        <v>-60.103866378900669</v>
      </c>
      <c r="O106">
        <f t="shared" si="71"/>
        <v>571.85008983675721</v>
      </c>
      <c r="Q106">
        <f t="shared" si="72"/>
        <v>298.35656861048204</v>
      </c>
      <c r="R106">
        <f t="shared" si="73"/>
        <v>-31.358538980296</v>
      </c>
      <c r="S106">
        <f t="shared" si="66"/>
        <v>150.35656861048204</v>
      </c>
      <c r="T106">
        <f t="shared" si="67"/>
        <v>-31.358538980296</v>
      </c>
      <c r="V106">
        <f t="shared" si="74"/>
        <v>298.35656861048204</v>
      </c>
      <c r="W106">
        <f t="shared" si="75"/>
        <v>-31.358538980296</v>
      </c>
      <c r="X106">
        <f t="shared" si="76"/>
        <v>150.35656861048204</v>
      </c>
      <c r="Y106">
        <f t="shared" si="77"/>
        <v>-31.358538980296</v>
      </c>
      <c r="AA106">
        <v>96</v>
      </c>
      <c r="AB106">
        <f t="shared" si="78"/>
        <v>-47.037808470443998</v>
      </c>
      <c r="AC106">
        <f t="shared" si="79"/>
        <v>447.53485291572304</v>
      </c>
      <c r="AD106">
        <v>96</v>
      </c>
      <c r="AE106">
        <f t="shared" si="80"/>
        <v>-67.94350112397467</v>
      </c>
      <c r="AF106">
        <f t="shared" si="81"/>
        <v>646.43923198937773</v>
      </c>
      <c r="AV106">
        <v>96</v>
      </c>
      <c r="AW106">
        <f t="shared" si="82"/>
        <v>-73.169924287357333</v>
      </c>
      <c r="AX106">
        <f t="shared" si="83"/>
        <v>696.16532675779138</v>
      </c>
      <c r="AZ106">
        <f t="shared" si="85"/>
        <v>494.97474683058329</v>
      </c>
      <c r="BA106">
        <f t="shared" si="84"/>
        <v>494.97474683058323</v>
      </c>
    </row>
    <row r="107" spans="9:53" x14ac:dyDescent="0.25">
      <c r="I107">
        <v>97</v>
      </c>
      <c r="J107">
        <f t="shared" si="68"/>
        <v>-60.934671702573681</v>
      </c>
      <c r="K107">
        <f t="shared" si="69"/>
        <v>496.27307582066106</v>
      </c>
      <c r="M107">
        <v>97</v>
      </c>
      <c r="N107">
        <f t="shared" si="70"/>
        <v>-70.074872457959728</v>
      </c>
      <c r="O107">
        <f t="shared" si="71"/>
        <v>570.71403719376019</v>
      </c>
      <c r="Q107">
        <f t="shared" si="72"/>
        <v>297.76384549239663</v>
      </c>
      <c r="R107">
        <f t="shared" si="73"/>
        <v>-36.56080302154421</v>
      </c>
      <c r="S107">
        <f t="shared" si="66"/>
        <v>149.76384549239663</v>
      </c>
      <c r="T107">
        <f t="shared" si="67"/>
        <v>-36.56080302154421</v>
      </c>
      <c r="V107">
        <f t="shared" si="74"/>
        <v>297.76384549239663</v>
      </c>
      <c r="W107">
        <f t="shared" si="75"/>
        <v>-36.56080302154421</v>
      </c>
      <c r="X107">
        <f t="shared" si="76"/>
        <v>149.76384549239663</v>
      </c>
      <c r="Y107">
        <f t="shared" si="77"/>
        <v>-36.56080302154421</v>
      </c>
      <c r="AA107">
        <v>97</v>
      </c>
      <c r="AB107">
        <f t="shared" si="78"/>
        <v>-54.841204532316311</v>
      </c>
      <c r="AC107">
        <f t="shared" si="79"/>
        <v>446.64576823859494</v>
      </c>
      <c r="AD107">
        <v>97</v>
      </c>
      <c r="AE107">
        <f t="shared" si="80"/>
        <v>-79.215073213345789</v>
      </c>
      <c r="AF107">
        <f t="shared" si="81"/>
        <v>645.15499856685938</v>
      </c>
      <c r="AV107">
        <v>97</v>
      </c>
      <c r="AW107">
        <f t="shared" si="82"/>
        <v>-85.308540383603159</v>
      </c>
      <c r="AX107">
        <f t="shared" si="83"/>
        <v>694.7823061489255</v>
      </c>
      <c r="AZ107">
        <f t="shared" si="85"/>
        <v>494.97474683058329</v>
      </c>
      <c r="BA107">
        <f t="shared" si="84"/>
        <v>494.97474683058323</v>
      </c>
    </row>
    <row r="108" spans="9:53" x14ac:dyDescent="0.25">
      <c r="I108">
        <v>98</v>
      </c>
      <c r="J108">
        <f t="shared" si="68"/>
        <v>-69.58655048003267</v>
      </c>
      <c r="K108">
        <f t="shared" si="69"/>
        <v>495.13403437078517</v>
      </c>
      <c r="M108">
        <v>98</v>
      </c>
      <c r="N108">
        <f t="shared" si="70"/>
        <v>-80.024533052037583</v>
      </c>
      <c r="O108">
        <f t="shared" si="71"/>
        <v>569.40413952640301</v>
      </c>
      <c r="Q108">
        <f t="shared" si="72"/>
        <v>297.08042062247108</v>
      </c>
      <c r="R108">
        <f t="shared" si="73"/>
        <v>-41.751930288019608</v>
      </c>
      <c r="S108">
        <f t="shared" si="66"/>
        <v>149.08042062247108</v>
      </c>
      <c r="T108">
        <f t="shared" si="67"/>
        <v>-41.751930288019608</v>
      </c>
      <c r="V108">
        <f t="shared" si="74"/>
        <v>297.08042062247108</v>
      </c>
      <c r="W108">
        <f t="shared" si="75"/>
        <v>-41.751930288019608</v>
      </c>
      <c r="X108">
        <f t="shared" si="76"/>
        <v>149.08042062247108</v>
      </c>
      <c r="Y108">
        <f t="shared" si="77"/>
        <v>-41.751930288019608</v>
      </c>
      <c r="AA108">
        <v>98</v>
      </c>
      <c r="AB108">
        <f t="shared" si="78"/>
        <v>-62.627895432029412</v>
      </c>
      <c r="AC108">
        <f t="shared" si="79"/>
        <v>445.62063093370665</v>
      </c>
      <c r="AD108">
        <v>98</v>
      </c>
      <c r="AE108">
        <f t="shared" si="80"/>
        <v>-90.462515624042481</v>
      </c>
      <c r="AF108">
        <f t="shared" si="81"/>
        <v>643.67424468202069</v>
      </c>
      <c r="AV108">
        <v>98</v>
      </c>
      <c r="AW108">
        <f t="shared" si="82"/>
        <v>-97.421170672045747</v>
      </c>
      <c r="AX108">
        <f t="shared" si="83"/>
        <v>693.18764811909921</v>
      </c>
      <c r="AZ108">
        <f t="shared" si="85"/>
        <v>494.97474683058329</v>
      </c>
      <c r="BA108">
        <f t="shared" si="84"/>
        <v>494.97474683058323</v>
      </c>
    </row>
    <row r="109" spans="9:53" x14ac:dyDescent="0.25">
      <c r="I109">
        <v>99</v>
      </c>
      <c r="J109">
        <f t="shared" si="68"/>
        <v>-78.217232520115516</v>
      </c>
      <c r="K109">
        <f t="shared" si="69"/>
        <v>493.84417029756884</v>
      </c>
      <c r="M109">
        <v>99</v>
      </c>
      <c r="N109">
        <f t="shared" si="70"/>
        <v>-89.949817398132851</v>
      </c>
      <c r="O109">
        <f t="shared" si="71"/>
        <v>567.92079584220414</v>
      </c>
      <c r="Q109">
        <f t="shared" si="72"/>
        <v>296.30650217854128</v>
      </c>
      <c r="R109">
        <f t="shared" si="73"/>
        <v>-46.93033951206931</v>
      </c>
      <c r="S109">
        <f t="shared" si="66"/>
        <v>148.30650217854128</v>
      </c>
      <c r="T109">
        <f t="shared" si="67"/>
        <v>-46.93033951206931</v>
      </c>
      <c r="V109">
        <f t="shared" si="74"/>
        <v>296.30650217854128</v>
      </c>
      <c r="W109">
        <f t="shared" si="75"/>
        <v>-46.93033951206931</v>
      </c>
      <c r="X109">
        <f t="shared" si="76"/>
        <v>148.30650217854128</v>
      </c>
      <c r="Y109">
        <f t="shared" si="77"/>
        <v>-46.93033951206931</v>
      </c>
      <c r="AA109">
        <v>99</v>
      </c>
      <c r="AB109">
        <f t="shared" si="78"/>
        <v>-70.395509268103964</v>
      </c>
      <c r="AC109">
        <f t="shared" si="79"/>
        <v>444.45975326781195</v>
      </c>
      <c r="AD109">
        <v>99</v>
      </c>
      <c r="AE109">
        <f t="shared" si="80"/>
        <v>-101.68240227615017</v>
      </c>
      <c r="AF109">
        <f t="shared" si="81"/>
        <v>641.99742138683951</v>
      </c>
      <c r="AV109">
        <v>99</v>
      </c>
      <c r="AW109">
        <f t="shared" si="82"/>
        <v>-109.50412552816172</v>
      </c>
      <c r="AX109">
        <f t="shared" si="83"/>
        <v>691.38183841659634</v>
      </c>
      <c r="AZ109">
        <f t="shared" si="85"/>
        <v>494.97474683058329</v>
      </c>
      <c r="BA109">
        <f t="shared" si="84"/>
        <v>494.97474683058323</v>
      </c>
    </row>
    <row r="110" spans="9:53" x14ac:dyDescent="0.25">
      <c r="I110">
        <v>100</v>
      </c>
      <c r="J110">
        <f t="shared" si="68"/>
        <v>-86.824088833465154</v>
      </c>
      <c r="K110">
        <f t="shared" si="69"/>
        <v>492.40387650610398</v>
      </c>
      <c r="M110">
        <v>100</v>
      </c>
      <c r="N110">
        <f t="shared" si="70"/>
        <v>-99.847702158484921</v>
      </c>
      <c r="O110">
        <f t="shared" si="71"/>
        <v>566.26445798201962</v>
      </c>
      <c r="Q110">
        <f t="shared" si="72"/>
        <v>295.44232590366238</v>
      </c>
      <c r="R110">
        <f t="shared" si="73"/>
        <v>-52.094453300079088</v>
      </c>
      <c r="S110">
        <f t="shared" si="66"/>
        <v>147.44232590366238</v>
      </c>
      <c r="T110">
        <f t="shared" si="67"/>
        <v>-52.094453300079088</v>
      </c>
      <c r="V110">
        <f t="shared" si="74"/>
        <v>295.44232590366238</v>
      </c>
      <c r="W110">
        <f t="shared" si="75"/>
        <v>-52.094453300079088</v>
      </c>
      <c r="X110">
        <f t="shared" si="76"/>
        <v>147.44232590366238</v>
      </c>
      <c r="Y110">
        <f t="shared" si="77"/>
        <v>-52.094453300079088</v>
      </c>
      <c r="AA110">
        <v>100</v>
      </c>
      <c r="AB110">
        <f t="shared" si="78"/>
        <v>-78.141679950118643</v>
      </c>
      <c r="AC110">
        <f t="shared" si="79"/>
        <v>443.1634888554936</v>
      </c>
      <c r="AD110">
        <v>100</v>
      </c>
      <c r="AE110">
        <f t="shared" si="80"/>
        <v>-112.8713154835047</v>
      </c>
      <c r="AF110">
        <f t="shared" si="81"/>
        <v>640.12503945793526</v>
      </c>
      <c r="AV110">
        <v>100</v>
      </c>
      <c r="AW110">
        <f t="shared" si="82"/>
        <v>-121.55372436685121</v>
      </c>
      <c r="AX110">
        <f t="shared" si="83"/>
        <v>689.36542710854565</v>
      </c>
      <c r="AZ110">
        <f t="shared" si="85"/>
        <v>494.97474683058329</v>
      </c>
      <c r="BA110">
        <f t="shared" si="84"/>
        <v>494.97474683058323</v>
      </c>
    </row>
    <row r="111" spans="9:53" x14ac:dyDescent="0.25">
      <c r="I111">
        <v>101</v>
      </c>
      <c r="J111">
        <f t="shared" si="68"/>
        <v>-95.4044976882724</v>
      </c>
      <c r="K111">
        <f t="shared" si="69"/>
        <v>490.81359172383196</v>
      </c>
      <c r="M111">
        <v>101</v>
      </c>
      <c r="N111">
        <f t="shared" si="70"/>
        <v>-109.71517234151327</v>
      </c>
      <c r="O111">
        <f t="shared" si="71"/>
        <v>564.43563048240674</v>
      </c>
      <c r="Q111">
        <f t="shared" si="72"/>
        <v>294.48815503429921</v>
      </c>
      <c r="R111">
        <f t="shared" si="73"/>
        <v>-57.242698612963444</v>
      </c>
      <c r="S111">
        <f t="shared" si="66"/>
        <v>146.48815503429921</v>
      </c>
      <c r="T111">
        <f t="shared" si="67"/>
        <v>-57.242698612963444</v>
      </c>
      <c r="V111">
        <f t="shared" si="74"/>
        <v>294.48815503429921</v>
      </c>
      <c r="W111">
        <f t="shared" si="75"/>
        <v>-57.242698612963444</v>
      </c>
      <c r="X111">
        <f t="shared" si="76"/>
        <v>146.48815503429921</v>
      </c>
      <c r="Y111">
        <f t="shared" si="77"/>
        <v>-57.242698612963444</v>
      </c>
      <c r="AA111">
        <v>101</v>
      </c>
      <c r="AB111">
        <f t="shared" si="78"/>
        <v>-85.864047919445156</v>
      </c>
      <c r="AC111">
        <f t="shared" si="79"/>
        <v>441.73223255144882</v>
      </c>
      <c r="AD111">
        <v>101</v>
      </c>
      <c r="AE111">
        <f t="shared" si="80"/>
        <v>-124.02584699475412</v>
      </c>
      <c r="AF111">
        <f t="shared" si="81"/>
        <v>638.05766924098157</v>
      </c>
      <c r="AV111">
        <v>101</v>
      </c>
      <c r="AW111">
        <f t="shared" si="82"/>
        <v>-133.56629676358136</v>
      </c>
      <c r="AX111">
        <f t="shared" si="83"/>
        <v>687.13902841336483</v>
      </c>
      <c r="AZ111">
        <f t="shared" si="85"/>
        <v>494.97474683058329</v>
      </c>
      <c r="BA111">
        <f t="shared" si="84"/>
        <v>494.97474683058323</v>
      </c>
    </row>
    <row r="112" spans="9:53" x14ac:dyDescent="0.25">
      <c r="I112">
        <v>102</v>
      </c>
      <c r="J112">
        <f t="shared" si="68"/>
        <v>-103.95584540887955</v>
      </c>
      <c r="K112">
        <f t="shared" si="69"/>
        <v>489.07380036690284</v>
      </c>
      <c r="M112">
        <v>102</v>
      </c>
      <c r="N112">
        <f t="shared" si="70"/>
        <v>-119.54922222021149</v>
      </c>
      <c r="O112">
        <f t="shared" si="71"/>
        <v>562.43487042193829</v>
      </c>
      <c r="Q112">
        <f t="shared" si="72"/>
        <v>293.44428022014171</v>
      </c>
      <c r="R112">
        <f t="shared" si="73"/>
        <v>-62.373507245327737</v>
      </c>
      <c r="S112">
        <f t="shared" si="66"/>
        <v>145.44428022014171</v>
      </c>
      <c r="T112">
        <f t="shared" si="67"/>
        <v>-62.373507245327737</v>
      </c>
      <c r="V112">
        <f t="shared" si="74"/>
        <v>293.44428022014171</v>
      </c>
      <c r="W112">
        <f t="shared" si="75"/>
        <v>-62.373507245327737</v>
      </c>
      <c r="X112">
        <f t="shared" si="76"/>
        <v>145.44428022014171</v>
      </c>
      <c r="Y112">
        <f t="shared" si="77"/>
        <v>-62.373507245327737</v>
      </c>
      <c r="AA112">
        <v>102</v>
      </c>
      <c r="AB112">
        <f t="shared" si="78"/>
        <v>-93.560260867991602</v>
      </c>
      <c r="AC112">
        <f t="shared" si="79"/>
        <v>440.16642033021253</v>
      </c>
      <c r="AD112">
        <v>102</v>
      </c>
      <c r="AE112">
        <f t="shared" si="80"/>
        <v>-135.14259903154343</v>
      </c>
      <c r="AF112">
        <f t="shared" si="81"/>
        <v>635.79594047697367</v>
      </c>
      <c r="AV112">
        <v>102</v>
      </c>
      <c r="AW112">
        <f t="shared" si="82"/>
        <v>-145.53818357243139</v>
      </c>
      <c r="AX112">
        <f t="shared" si="83"/>
        <v>684.70332051366404</v>
      </c>
      <c r="AZ112">
        <f t="shared" si="85"/>
        <v>494.97474683058329</v>
      </c>
      <c r="BA112">
        <f t="shared" si="84"/>
        <v>494.97474683058323</v>
      </c>
    </row>
    <row r="113" spans="9:53" x14ac:dyDescent="0.25">
      <c r="I113">
        <v>103</v>
      </c>
      <c r="J113">
        <f t="shared" si="68"/>
        <v>-112.4755271719324</v>
      </c>
      <c r="K113">
        <f t="shared" si="69"/>
        <v>487.18503239261764</v>
      </c>
      <c r="M113">
        <v>103</v>
      </c>
      <c r="N113">
        <f t="shared" si="70"/>
        <v>-129.34685624772226</v>
      </c>
      <c r="O113">
        <f t="shared" si="71"/>
        <v>560.2627872515103</v>
      </c>
      <c r="Q113">
        <f t="shared" si="72"/>
        <v>292.31101943557059</v>
      </c>
      <c r="R113">
        <f t="shared" si="73"/>
        <v>-67.485316303159436</v>
      </c>
      <c r="S113">
        <f t="shared" si="66"/>
        <v>144.31101943557059</v>
      </c>
      <c r="T113">
        <f t="shared" si="67"/>
        <v>-67.485316303159436</v>
      </c>
      <c r="V113">
        <f t="shared" si="74"/>
        <v>292.31101943557059</v>
      </c>
      <c r="W113">
        <f t="shared" si="75"/>
        <v>-67.485316303159436</v>
      </c>
      <c r="X113">
        <f t="shared" si="76"/>
        <v>144.31101943557059</v>
      </c>
      <c r="Y113">
        <f t="shared" si="77"/>
        <v>-67.485316303159436</v>
      </c>
      <c r="AA113">
        <v>103</v>
      </c>
      <c r="AB113">
        <f t="shared" si="78"/>
        <v>-101.22797445473917</v>
      </c>
      <c r="AC113">
        <f t="shared" si="79"/>
        <v>438.46652915335585</v>
      </c>
      <c r="AD113">
        <v>103</v>
      </c>
      <c r="AE113">
        <f t="shared" si="80"/>
        <v>-146.21818532351213</v>
      </c>
      <c r="AF113">
        <f t="shared" si="81"/>
        <v>633.34054211040291</v>
      </c>
      <c r="AV113">
        <v>103</v>
      </c>
      <c r="AW113">
        <f t="shared" si="82"/>
        <v>-157.46573804070536</v>
      </c>
      <c r="AX113">
        <f t="shared" si="83"/>
        <v>682.05904534966464</v>
      </c>
      <c r="AZ113">
        <f t="shared" si="85"/>
        <v>494.97474683058329</v>
      </c>
      <c r="BA113">
        <f t="shared" si="84"/>
        <v>494.97474683058323</v>
      </c>
    </row>
    <row r="114" spans="9:53" x14ac:dyDescent="0.25">
      <c r="I114">
        <v>104</v>
      </c>
      <c r="J114">
        <f t="shared" si="68"/>
        <v>-120.96094779983389</v>
      </c>
      <c r="K114">
        <f t="shared" si="69"/>
        <v>485.14786313799823</v>
      </c>
      <c r="M114">
        <v>104</v>
      </c>
      <c r="N114">
        <f t="shared" si="70"/>
        <v>-139.10508996980897</v>
      </c>
      <c r="O114">
        <f t="shared" si="71"/>
        <v>557.92004260869794</v>
      </c>
      <c r="Q114">
        <f t="shared" si="72"/>
        <v>291.08871788279896</v>
      </c>
      <c r="R114">
        <f t="shared" si="73"/>
        <v>-72.576568679900333</v>
      </c>
      <c r="S114">
        <f t="shared" si="66"/>
        <v>143.08871788279896</v>
      </c>
      <c r="T114">
        <f t="shared" si="67"/>
        <v>-72.576568679900333</v>
      </c>
      <c r="V114">
        <f t="shared" si="74"/>
        <v>291.08871788279896</v>
      </c>
      <c r="W114">
        <f t="shared" si="75"/>
        <v>-72.576568679900333</v>
      </c>
      <c r="X114">
        <f t="shared" si="76"/>
        <v>143.08871788279896</v>
      </c>
      <c r="Y114">
        <f t="shared" si="77"/>
        <v>-72.576568679900333</v>
      </c>
      <c r="AA114">
        <v>104</v>
      </c>
      <c r="AB114">
        <f t="shared" si="78"/>
        <v>-108.8648530198505</v>
      </c>
      <c r="AC114">
        <f t="shared" si="79"/>
        <v>436.63307682419844</v>
      </c>
      <c r="AD114">
        <v>104</v>
      </c>
      <c r="AE114">
        <f t="shared" si="80"/>
        <v>-157.24923213978406</v>
      </c>
      <c r="AF114">
        <f t="shared" si="81"/>
        <v>630.69222207939765</v>
      </c>
      <c r="AV114">
        <v>104</v>
      </c>
      <c r="AW114">
        <f t="shared" si="82"/>
        <v>-169.34532691976744</v>
      </c>
      <c r="AX114">
        <f t="shared" si="83"/>
        <v>679.2070083931975</v>
      </c>
      <c r="AZ114">
        <f t="shared" si="85"/>
        <v>494.97474683058329</v>
      </c>
      <c r="BA114">
        <f t="shared" si="84"/>
        <v>494.97474683058323</v>
      </c>
    </row>
    <row r="115" spans="9:53" x14ac:dyDescent="0.25">
      <c r="I115">
        <v>105</v>
      </c>
      <c r="J115">
        <f t="shared" si="68"/>
        <v>-129.40952255126044</v>
      </c>
      <c r="K115">
        <f t="shared" si="69"/>
        <v>482.96291314453418</v>
      </c>
      <c r="M115">
        <v>105</v>
      </c>
      <c r="N115">
        <f t="shared" si="70"/>
        <v>-148.82095093394949</v>
      </c>
      <c r="O115">
        <f t="shared" si="71"/>
        <v>555.40735011621427</v>
      </c>
      <c r="Q115">
        <f t="shared" si="72"/>
        <v>289.77774788672048</v>
      </c>
      <c r="R115">
        <f t="shared" si="73"/>
        <v>-77.645713530756254</v>
      </c>
      <c r="S115">
        <f t="shared" si="66"/>
        <v>141.77774788672048</v>
      </c>
      <c r="T115">
        <f t="shared" si="67"/>
        <v>-77.645713530756254</v>
      </c>
      <c r="V115">
        <f t="shared" si="74"/>
        <v>289.77774788672048</v>
      </c>
      <c r="W115">
        <f t="shared" si="75"/>
        <v>-77.645713530756254</v>
      </c>
      <c r="X115">
        <f t="shared" si="76"/>
        <v>141.77774788672048</v>
      </c>
      <c r="Y115">
        <f t="shared" si="77"/>
        <v>-77.645713530756254</v>
      </c>
      <c r="AA115">
        <v>105</v>
      </c>
      <c r="AB115">
        <f t="shared" si="78"/>
        <v>-116.46857029613439</v>
      </c>
      <c r="AC115">
        <f t="shared" si="79"/>
        <v>434.66662183008071</v>
      </c>
      <c r="AD115">
        <v>105</v>
      </c>
      <c r="AE115">
        <f t="shared" si="80"/>
        <v>-168.23237931663854</v>
      </c>
      <c r="AF115">
        <f t="shared" si="81"/>
        <v>627.85178708789442</v>
      </c>
      <c r="AV115">
        <v>105</v>
      </c>
      <c r="AW115">
        <f t="shared" si="82"/>
        <v>-181.17333157176461</v>
      </c>
      <c r="AX115">
        <f t="shared" si="83"/>
        <v>676.14807840234778</v>
      </c>
      <c r="AZ115">
        <f t="shared" si="85"/>
        <v>494.97474683058329</v>
      </c>
      <c r="BA115">
        <f t="shared" si="84"/>
        <v>494.97474683058323</v>
      </c>
    </row>
    <row r="116" spans="9:53" x14ac:dyDescent="0.25">
      <c r="I116">
        <v>106</v>
      </c>
      <c r="J116">
        <f t="shared" si="68"/>
        <v>-137.81867790849952</v>
      </c>
      <c r="K116">
        <f t="shared" si="69"/>
        <v>480.63084796915945</v>
      </c>
      <c r="M116">
        <v>106</v>
      </c>
      <c r="N116">
        <f t="shared" si="70"/>
        <v>-158.49147959477446</v>
      </c>
      <c r="O116">
        <f t="shared" si="71"/>
        <v>552.72547516453335</v>
      </c>
      <c r="Q116">
        <f t="shared" si="72"/>
        <v>288.37850878149567</v>
      </c>
      <c r="R116">
        <f t="shared" si="73"/>
        <v>-82.69120674509972</v>
      </c>
      <c r="S116">
        <f t="shared" si="66"/>
        <v>140.37850878149567</v>
      </c>
      <c r="T116">
        <f t="shared" si="67"/>
        <v>-82.69120674509972</v>
      </c>
      <c r="V116">
        <f t="shared" si="74"/>
        <v>288.37850878149567</v>
      </c>
      <c r="W116">
        <f t="shared" si="75"/>
        <v>-82.69120674509972</v>
      </c>
      <c r="X116">
        <f t="shared" si="76"/>
        <v>140.37850878149567</v>
      </c>
      <c r="Y116">
        <f t="shared" si="77"/>
        <v>-82.69120674509972</v>
      </c>
      <c r="AA116">
        <v>106</v>
      </c>
      <c r="AB116">
        <f t="shared" si="78"/>
        <v>-124.03681011764958</v>
      </c>
      <c r="AC116">
        <f t="shared" si="79"/>
        <v>432.56776317224353</v>
      </c>
      <c r="AD116">
        <v>106</v>
      </c>
      <c r="AE116">
        <f t="shared" si="80"/>
        <v>-179.1642812810494</v>
      </c>
      <c r="AF116">
        <f t="shared" si="81"/>
        <v>624.82010235990731</v>
      </c>
      <c r="AV116">
        <v>106</v>
      </c>
      <c r="AW116">
        <f t="shared" si="82"/>
        <v>-192.94614907189933</v>
      </c>
      <c r="AX116">
        <f t="shared" si="83"/>
        <v>672.88318715682317</v>
      </c>
      <c r="AZ116">
        <f t="shared" si="85"/>
        <v>494.97474683058329</v>
      </c>
      <c r="BA116">
        <f t="shared" si="84"/>
        <v>494.97474683058323</v>
      </c>
    </row>
    <row r="117" spans="9:53" x14ac:dyDescent="0.25">
      <c r="I117">
        <v>107</v>
      </c>
      <c r="J117">
        <f t="shared" si="68"/>
        <v>-146.18585236136832</v>
      </c>
      <c r="K117">
        <f t="shared" si="69"/>
        <v>478.15237798151776</v>
      </c>
      <c r="M117">
        <v>107</v>
      </c>
      <c r="N117">
        <f t="shared" si="70"/>
        <v>-168.11373021557358</v>
      </c>
      <c r="O117">
        <f t="shared" si="71"/>
        <v>549.87523467874541</v>
      </c>
      <c r="Q117">
        <f t="shared" si="72"/>
        <v>286.89142678891068</v>
      </c>
      <c r="R117">
        <f t="shared" si="73"/>
        <v>-87.711511416820997</v>
      </c>
      <c r="S117">
        <f t="shared" si="66"/>
        <v>138.89142678891068</v>
      </c>
      <c r="T117">
        <f t="shared" si="67"/>
        <v>-87.711511416820997</v>
      </c>
      <c r="V117">
        <f t="shared" si="74"/>
        <v>286.89142678891068</v>
      </c>
      <c r="W117">
        <f t="shared" si="75"/>
        <v>-87.711511416820997</v>
      </c>
      <c r="X117">
        <f t="shared" si="76"/>
        <v>138.89142678891068</v>
      </c>
      <c r="Y117">
        <f t="shared" si="77"/>
        <v>-87.711511416820997</v>
      </c>
      <c r="AA117">
        <v>107</v>
      </c>
      <c r="AB117">
        <f t="shared" si="78"/>
        <v>-131.5672671252315</v>
      </c>
      <c r="AC117">
        <f t="shared" si="79"/>
        <v>430.33714018336599</v>
      </c>
      <c r="AD117">
        <v>107</v>
      </c>
      <c r="AE117">
        <f t="shared" si="80"/>
        <v>-190.04160806977882</v>
      </c>
      <c r="AF117">
        <f t="shared" si="81"/>
        <v>621.59809137597313</v>
      </c>
      <c r="AV117">
        <v>107</v>
      </c>
      <c r="AW117">
        <f t="shared" si="82"/>
        <v>-204.66019330591567</v>
      </c>
      <c r="AX117">
        <f t="shared" si="83"/>
        <v>669.4133291741249</v>
      </c>
      <c r="AZ117">
        <f t="shared" si="85"/>
        <v>494.97474683058329</v>
      </c>
      <c r="BA117">
        <f t="shared" si="84"/>
        <v>494.97474683058323</v>
      </c>
    </row>
    <row r="118" spans="9:53" x14ac:dyDescent="0.25">
      <c r="I118">
        <v>108</v>
      </c>
      <c r="J118">
        <f t="shared" si="68"/>
        <v>-154.50849718747367</v>
      </c>
      <c r="K118">
        <f t="shared" si="69"/>
        <v>475.52825814757682</v>
      </c>
      <c r="M118">
        <v>108</v>
      </c>
      <c r="N118">
        <f t="shared" si="70"/>
        <v>-177.68477176559472</v>
      </c>
      <c r="O118">
        <f t="shared" si="71"/>
        <v>546.85749686971337</v>
      </c>
      <c r="Q118">
        <f t="shared" si="72"/>
        <v>285.31695488854609</v>
      </c>
      <c r="R118">
        <f t="shared" si="73"/>
        <v>-92.705098312484196</v>
      </c>
      <c r="S118">
        <f t="shared" si="66"/>
        <v>137.31695488854609</v>
      </c>
      <c r="T118">
        <f t="shared" si="67"/>
        <v>-92.705098312484196</v>
      </c>
      <c r="V118">
        <f t="shared" si="74"/>
        <v>285.31695488854609</v>
      </c>
      <c r="W118">
        <f t="shared" si="75"/>
        <v>-92.705098312484196</v>
      </c>
      <c r="X118">
        <f t="shared" si="76"/>
        <v>137.31695488854609</v>
      </c>
      <c r="Y118">
        <f t="shared" si="77"/>
        <v>-92.705098312484196</v>
      </c>
      <c r="AA118">
        <v>108</v>
      </c>
      <c r="AB118">
        <f t="shared" si="78"/>
        <v>-139.05764746872632</v>
      </c>
      <c r="AC118">
        <f t="shared" si="79"/>
        <v>427.97543233281914</v>
      </c>
      <c r="AD118">
        <v>108</v>
      </c>
      <c r="AE118">
        <f t="shared" si="80"/>
        <v>-200.86104634371577</v>
      </c>
      <c r="AF118">
        <f t="shared" si="81"/>
        <v>618.18673559184981</v>
      </c>
      <c r="AV118">
        <v>108</v>
      </c>
      <c r="AW118">
        <f t="shared" si="82"/>
        <v>-216.31189606246315</v>
      </c>
      <c r="AX118">
        <f t="shared" si="83"/>
        <v>665.73956140660755</v>
      </c>
      <c r="AZ118">
        <f t="shared" si="85"/>
        <v>494.97474683058329</v>
      </c>
      <c r="BA118">
        <f t="shared" si="84"/>
        <v>494.97474683058323</v>
      </c>
    </row>
    <row r="119" spans="9:53" x14ac:dyDescent="0.25">
      <c r="I119">
        <v>109</v>
      </c>
      <c r="J119">
        <f t="shared" si="68"/>
        <v>-162.78407722857821</v>
      </c>
      <c r="K119">
        <f t="shared" si="69"/>
        <v>472.75928779965841</v>
      </c>
      <c r="M119">
        <v>109</v>
      </c>
      <c r="N119">
        <f t="shared" si="70"/>
        <v>-187.20168881286494</v>
      </c>
      <c r="O119">
        <f t="shared" si="71"/>
        <v>543.67318096960719</v>
      </c>
      <c r="Q119">
        <f t="shared" si="72"/>
        <v>283.65557267979506</v>
      </c>
      <c r="R119">
        <f t="shared" si="73"/>
        <v>-97.670446337146927</v>
      </c>
      <c r="S119">
        <f t="shared" si="66"/>
        <v>135.65557267979506</v>
      </c>
      <c r="T119">
        <f t="shared" si="67"/>
        <v>-97.670446337146927</v>
      </c>
      <c r="V119">
        <f t="shared" si="74"/>
        <v>283.65557267979506</v>
      </c>
      <c r="W119">
        <f t="shared" si="75"/>
        <v>-97.670446337146927</v>
      </c>
      <c r="X119">
        <f t="shared" si="76"/>
        <v>135.65557267979506</v>
      </c>
      <c r="Y119">
        <f t="shared" si="77"/>
        <v>-97.670446337146927</v>
      </c>
      <c r="AA119">
        <v>109</v>
      </c>
      <c r="AB119">
        <f t="shared" si="78"/>
        <v>-146.50566950572039</v>
      </c>
      <c r="AC119">
        <f t="shared" si="79"/>
        <v>425.48335901969256</v>
      </c>
      <c r="AD119">
        <v>109</v>
      </c>
      <c r="AE119">
        <f t="shared" si="80"/>
        <v>-211.61930039715168</v>
      </c>
      <c r="AF119">
        <f t="shared" si="81"/>
        <v>614.58707413955597</v>
      </c>
      <c r="AV119">
        <v>109</v>
      </c>
      <c r="AW119">
        <f t="shared" si="82"/>
        <v>-227.8977081200095</v>
      </c>
      <c r="AX119">
        <f t="shared" si="83"/>
        <v>661.86300291952182</v>
      </c>
      <c r="AZ119">
        <f t="shared" si="85"/>
        <v>494.97474683058329</v>
      </c>
      <c r="BA119">
        <f t="shared" si="84"/>
        <v>494.97474683058323</v>
      </c>
    </row>
    <row r="120" spans="9:53" x14ac:dyDescent="0.25">
      <c r="I120">
        <v>110</v>
      </c>
      <c r="J120">
        <f t="shared" si="68"/>
        <v>-171.01007166283435</v>
      </c>
      <c r="K120">
        <f t="shared" si="69"/>
        <v>469.84631039295419</v>
      </c>
      <c r="M120">
        <v>110</v>
      </c>
      <c r="N120">
        <f t="shared" si="70"/>
        <v>-196.66158241225952</v>
      </c>
      <c r="O120">
        <f t="shared" si="71"/>
        <v>540.32325695189729</v>
      </c>
      <c r="Q120">
        <f t="shared" si="72"/>
        <v>281.90778623577251</v>
      </c>
      <c r="R120">
        <f t="shared" si="73"/>
        <v>-102.60604299770061</v>
      </c>
      <c r="S120">
        <f t="shared" si="66"/>
        <v>133.90778623577251</v>
      </c>
      <c r="T120">
        <f t="shared" si="67"/>
        <v>-102.60604299770061</v>
      </c>
      <c r="V120">
        <f t="shared" si="74"/>
        <v>281.90778623577251</v>
      </c>
      <c r="W120">
        <f t="shared" si="75"/>
        <v>-102.60604299770061</v>
      </c>
      <c r="X120">
        <f t="shared" si="76"/>
        <v>133.90778623577251</v>
      </c>
      <c r="Y120">
        <f t="shared" si="77"/>
        <v>-102.60604299770061</v>
      </c>
      <c r="AA120">
        <v>110</v>
      </c>
      <c r="AB120">
        <f t="shared" si="78"/>
        <v>-153.90906449655091</v>
      </c>
      <c r="AC120">
        <f t="shared" si="79"/>
        <v>422.86167935365881</v>
      </c>
      <c r="AD120">
        <v>110</v>
      </c>
      <c r="AE120">
        <f t="shared" si="80"/>
        <v>-222.31309316168466</v>
      </c>
      <c r="AF120">
        <f t="shared" si="81"/>
        <v>610.80020351084045</v>
      </c>
      <c r="AV120">
        <v>110</v>
      </c>
      <c r="AW120">
        <f t="shared" si="82"/>
        <v>-239.4141003279681</v>
      </c>
      <c r="AX120">
        <f t="shared" si="83"/>
        <v>657.78483455013588</v>
      </c>
      <c r="AZ120">
        <f t="shared" si="85"/>
        <v>494.97474683058329</v>
      </c>
      <c r="BA120">
        <f t="shared" si="84"/>
        <v>494.97474683058323</v>
      </c>
    </row>
    <row r="121" spans="9:53" x14ac:dyDescent="0.25">
      <c r="I121">
        <v>111</v>
      </c>
      <c r="J121">
        <f t="shared" si="68"/>
        <v>-179.18397477265015</v>
      </c>
      <c r="K121">
        <f t="shared" si="69"/>
        <v>466.79021324860088</v>
      </c>
      <c r="M121">
        <v>111</v>
      </c>
      <c r="N121">
        <f t="shared" si="70"/>
        <v>-206.06157098854766</v>
      </c>
      <c r="O121">
        <f t="shared" si="71"/>
        <v>536.80874523589102</v>
      </c>
      <c r="Q121">
        <f t="shared" si="72"/>
        <v>280.07412794916053</v>
      </c>
      <c r="R121">
        <f t="shared" si="73"/>
        <v>-107.51038486359008</v>
      </c>
      <c r="S121">
        <f t="shared" si="66"/>
        <v>132.07412794916053</v>
      </c>
      <c r="T121">
        <f t="shared" si="67"/>
        <v>-107.51038486359008</v>
      </c>
      <c r="V121">
        <f t="shared" si="74"/>
        <v>280.07412794916053</v>
      </c>
      <c r="W121">
        <f t="shared" si="75"/>
        <v>-107.51038486359008</v>
      </c>
      <c r="X121">
        <f t="shared" si="76"/>
        <v>132.07412794916053</v>
      </c>
      <c r="Y121">
        <f t="shared" si="77"/>
        <v>-107.51038486359008</v>
      </c>
      <c r="AA121">
        <v>111</v>
      </c>
      <c r="AB121">
        <f t="shared" si="78"/>
        <v>-161.26557729538513</v>
      </c>
      <c r="AC121">
        <f t="shared" si="79"/>
        <v>420.11119192374076</v>
      </c>
      <c r="AD121">
        <v>111</v>
      </c>
      <c r="AE121">
        <f t="shared" si="80"/>
        <v>-232.93916720444517</v>
      </c>
      <c r="AF121">
        <f t="shared" si="81"/>
        <v>606.82727722318111</v>
      </c>
      <c r="AV121">
        <v>111</v>
      </c>
      <c r="AW121">
        <f t="shared" si="82"/>
        <v>-250.85756468171019</v>
      </c>
      <c r="AX121">
        <f t="shared" si="83"/>
        <v>653.50629854804117</v>
      </c>
      <c r="AZ121">
        <f t="shared" si="85"/>
        <v>494.97474683058329</v>
      </c>
      <c r="BA121">
        <f t="shared" si="84"/>
        <v>494.97474683058323</v>
      </c>
    </row>
    <row r="122" spans="9:53" x14ac:dyDescent="0.25">
      <c r="I122">
        <v>112</v>
      </c>
      <c r="J122">
        <f t="shared" si="68"/>
        <v>-187.30329670795604</v>
      </c>
      <c r="K122">
        <f t="shared" si="69"/>
        <v>463.59192728339372</v>
      </c>
      <c r="M122">
        <v>112</v>
      </c>
      <c r="N122">
        <f t="shared" si="70"/>
        <v>-215.39879121414944</v>
      </c>
      <c r="O122">
        <f t="shared" si="71"/>
        <v>533.13071637590281</v>
      </c>
      <c r="Q122">
        <f t="shared" si="72"/>
        <v>278.15515637003625</v>
      </c>
      <c r="R122">
        <f t="shared" si="73"/>
        <v>-112.38197802477362</v>
      </c>
      <c r="S122">
        <f t="shared" si="66"/>
        <v>130.15515637003625</v>
      </c>
      <c r="T122">
        <f t="shared" si="67"/>
        <v>-112.38197802477362</v>
      </c>
      <c r="V122">
        <f t="shared" si="74"/>
        <v>278.15515637003625</v>
      </c>
      <c r="W122">
        <f t="shared" si="75"/>
        <v>-112.38197802477362</v>
      </c>
      <c r="X122">
        <f t="shared" si="76"/>
        <v>130.15515637003625</v>
      </c>
      <c r="Y122">
        <f t="shared" si="77"/>
        <v>-112.38197802477362</v>
      </c>
      <c r="AA122">
        <v>112</v>
      </c>
      <c r="AB122">
        <f t="shared" si="78"/>
        <v>-168.57296703716042</v>
      </c>
      <c r="AC122">
        <f t="shared" si="79"/>
        <v>417.23273455505432</v>
      </c>
      <c r="AD122">
        <v>112</v>
      </c>
      <c r="AE122">
        <f t="shared" si="80"/>
        <v>-243.49428572034284</v>
      </c>
      <c r="AF122">
        <f t="shared" si="81"/>
        <v>602.66950546841178</v>
      </c>
      <c r="AV122">
        <v>112</v>
      </c>
      <c r="AW122">
        <f t="shared" si="82"/>
        <v>-262.22461539113846</v>
      </c>
      <c r="AX122">
        <f t="shared" si="83"/>
        <v>649.02869819675118</v>
      </c>
      <c r="AZ122">
        <f t="shared" si="85"/>
        <v>494.97474683058329</v>
      </c>
      <c r="BA122">
        <f t="shared" si="84"/>
        <v>494.97474683058323</v>
      </c>
    </row>
    <row r="123" spans="9:53" x14ac:dyDescent="0.25">
      <c r="I123">
        <v>113</v>
      </c>
      <c r="J123">
        <f t="shared" si="68"/>
        <v>-195.3655642446368</v>
      </c>
      <c r="K123">
        <f t="shared" si="69"/>
        <v>460.25242672622016</v>
      </c>
      <c r="M123">
        <v>113</v>
      </c>
      <c r="N123">
        <f t="shared" si="70"/>
        <v>-224.67039888133232</v>
      </c>
      <c r="O123">
        <f t="shared" si="71"/>
        <v>529.29029073515323</v>
      </c>
      <c r="Q123">
        <f t="shared" si="72"/>
        <v>276.15145603573211</v>
      </c>
      <c r="R123">
        <f t="shared" si="73"/>
        <v>-117.21933854678208</v>
      </c>
      <c r="S123">
        <f t="shared" si="66"/>
        <v>128.15145603573211</v>
      </c>
      <c r="T123">
        <f t="shared" si="67"/>
        <v>-117.21933854678208</v>
      </c>
      <c r="V123">
        <f t="shared" si="74"/>
        <v>276.15145603573211</v>
      </c>
      <c r="W123">
        <f t="shared" si="75"/>
        <v>-117.21933854678208</v>
      </c>
      <c r="X123">
        <f t="shared" si="76"/>
        <v>128.15145603573211</v>
      </c>
      <c r="Y123">
        <f t="shared" si="77"/>
        <v>-117.21933854678208</v>
      </c>
      <c r="AA123">
        <v>113</v>
      </c>
      <c r="AB123">
        <f t="shared" si="78"/>
        <v>-175.82900782017313</v>
      </c>
      <c r="AC123">
        <f t="shared" si="79"/>
        <v>414.22718405359819</v>
      </c>
      <c r="AD123">
        <v>113</v>
      </c>
      <c r="AE123">
        <f t="shared" si="80"/>
        <v>-253.97523351802784</v>
      </c>
      <c r="AF123">
        <f t="shared" si="81"/>
        <v>598.32815474408619</v>
      </c>
      <c r="AV123">
        <v>113</v>
      </c>
      <c r="AW123">
        <f t="shared" si="82"/>
        <v>-273.51178994249153</v>
      </c>
      <c r="AX123">
        <f t="shared" si="83"/>
        <v>644.35339741670828</v>
      </c>
      <c r="AZ123">
        <f t="shared" si="85"/>
        <v>494.97474683058329</v>
      </c>
      <c r="BA123">
        <f t="shared" si="84"/>
        <v>494.97474683058323</v>
      </c>
    </row>
    <row r="124" spans="9:53" x14ac:dyDescent="0.25">
      <c r="I124">
        <v>114</v>
      </c>
      <c r="J124">
        <f t="shared" si="68"/>
        <v>-203.36832153790002</v>
      </c>
      <c r="K124">
        <f t="shared" si="69"/>
        <v>456.77272882130046</v>
      </c>
      <c r="M124">
        <v>114</v>
      </c>
      <c r="N124">
        <f t="shared" si="70"/>
        <v>-233.87356976858501</v>
      </c>
      <c r="O124">
        <f t="shared" si="71"/>
        <v>525.28863814449551</v>
      </c>
      <c r="Q124">
        <f t="shared" si="72"/>
        <v>274.0636372927803</v>
      </c>
      <c r="R124">
        <f t="shared" si="73"/>
        <v>-122.02099292274001</v>
      </c>
      <c r="S124">
        <f t="shared" si="66"/>
        <v>126.0636372927803</v>
      </c>
      <c r="T124">
        <f t="shared" si="67"/>
        <v>-122.02099292274001</v>
      </c>
      <c r="V124">
        <f t="shared" si="74"/>
        <v>274.0636372927803</v>
      </c>
      <c r="W124">
        <f t="shared" si="75"/>
        <v>-122.02099292274001</v>
      </c>
      <c r="X124">
        <f t="shared" si="76"/>
        <v>126.0636372927803</v>
      </c>
      <c r="Y124">
        <f t="shared" si="77"/>
        <v>-122.02099292274001</v>
      </c>
      <c r="AA124">
        <v>114</v>
      </c>
      <c r="AB124">
        <f t="shared" si="78"/>
        <v>-183.03148938411002</v>
      </c>
      <c r="AC124">
        <f t="shared" si="79"/>
        <v>411.09545593917045</v>
      </c>
      <c r="AD124">
        <v>114</v>
      </c>
      <c r="AE124">
        <f t="shared" si="80"/>
        <v>-264.37881799927004</v>
      </c>
      <c r="AF124">
        <f t="shared" si="81"/>
        <v>593.80454746769067</v>
      </c>
      <c r="AV124">
        <v>114</v>
      </c>
      <c r="AW124">
        <f t="shared" si="82"/>
        <v>-284.71565015306004</v>
      </c>
      <c r="AX124">
        <f t="shared" si="83"/>
        <v>639.48182034982074</v>
      </c>
      <c r="AZ124">
        <f t="shared" si="85"/>
        <v>494.97474683058329</v>
      </c>
      <c r="BA124">
        <f t="shared" si="84"/>
        <v>494.97474683058323</v>
      </c>
    </row>
    <row r="125" spans="9:53" x14ac:dyDescent="0.25">
      <c r="I125">
        <v>115</v>
      </c>
      <c r="J125">
        <f t="shared" si="68"/>
        <v>-211.30913087034966</v>
      </c>
      <c r="K125">
        <f t="shared" si="69"/>
        <v>453.15389351832505</v>
      </c>
      <c r="M125">
        <v>115</v>
      </c>
      <c r="N125">
        <f t="shared" si="70"/>
        <v>-243.00550050090212</v>
      </c>
      <c r="O125">
        <f t="shared" si="71"/>
        <v>521.12697754607382</v>
      </c>
      <c r="Q125">
        <f t="shared" si="72"/>
        <v>271.89233611099502</v>
      </c>
      <c r="R125">
        <f t="shared" si="73"/>
        <v>-126.7854785222098</v>
      </c>
      <c r="S125">
        <f t="shared" si="66"/>
        <v>123.89233611099502</v>
      </c>
      <c r="T125">
        <f t="shared" si="67"/>
        <v>-126.7854785222098</v>
      </c>
      <c r="V125">
        <f t="shared" si="74"/>
        <v>271.89233611099502</v>
      </c>
      <c r="W125">
        <f t="shared" si="75"/>
        <v>-126.7854785222098</v>
      </c>
      <c r="X125">
        <f t="shared" si="76"/>
        <v>123.89233611099502</v>
      </c>
      <c r="Y125">
        <f t="shared" si="77"/>
        <v>-126.7854785222098</v>
      </c>
      <c r="AA125">
        <v>115</v>
      </c>
      <c r="AB125">
        <f t="shared" si="78"/>
        <v>-190.17821778331469</v>
      </c>
      <c r="AC125">
        <f t="shared" si="79"/>
        <v>407.8385041664925</v>
      </c>
      <c r="AD125">
        <v>115</v>
      </c>
      <c r="AE125">
        <f t="shared" si="80"/>
        <v>-274.70187013145454</v>
      </c>
      <c r="AF125">
        <f t="shared" si="81"/>
        <v>589.10006157382259</v>
      </c>
      <c r="AV125">
        <v>115</v>
      </c>
      <c r="AW125">
        <f t="shared" si="82"/>
        <v>-295.83278321848951</v>
      </c>
      <c r="AX125">
        <f t="shared" si="83"/>
        <v>634.41545092565502</v>
      </c>
      <c r="AZ125">
        <f t="shared" si="85"/>
        <v>494.97474683058329</v>
      </c>
      <c r="BA125">
        <f t="shared" si="84"/>
        <v>494.97474683058323</v>
      </c>
    </row>
    <row r="126" spans="9:53" x14ac:dyDescent="0.25">
      <c r="I126">
        <v>116</v>
      </c>
      <c r="J126">
        <f t="shared" si="68"/>
        <v>-219.18557339453875</v>
      </c>
      <c r="K126">
        <f t="shared" si="69"/>
        <v>449.39702314958345</v>
      </c>
      <c r="M126">
        <v>116</v>
      </c>
      <c r="N126">
        <f t="shared" si="70"/>
        <v>-252.06340940371956</v>
      </c>
      <c r="O126">
        <f t="shared" si="71"/>
        <v>516.806576622021</v>
      </c>
      <c r="Q126">
        <f t="shared" si="72"/>
        <v>269.63821388975009</v>
      </c>
      <c r="R126">
        <f t="shared" si="73"/>
        <v>-131.51134403672324</v>
      </c>
      <c r="S126">
        <f t="shared" si="66"/>
        <v>121.63821388975009</v>
      </c>
      <c r="T126">
        <f t="shared" si="67"/>
        <v>-131.51134403672324</v>
      </c>
      <c r="V126">
        <f t="shared" si="74"/>
        <v>269.63821388975009</v>
      </c>
      <c r="W126">
        <f t="shared" si="75"/>
        <v>-131.51134403672324</v>
      </c>
      <c r="X126">
        <f t="shared" si="76"/>
        <v>121.63821388975009</v>
      </c>
      <c r="Y126">
        <f t="shared" si="77"/>
        <v>-131.51134403672324</v>
      </c>
      <c r="AA126">
        <v>116</v>
      </c>
      <c r="AB126">
        <f t="shared" si="78"/>
        <v>-197.26701605508489</v>
      </c>
      <c r="AC126">
        <f t="shared" si="79"/>
        <v>404.45732083462514</v>
      </c>
      <c r="AD126">
        <v>116</v>
      </c>
      <c r="AE126">
        <f t="shared" si="80"/>
        <v>-284.9412454129004</v>
      </c>
      <c r="AF126">
        <f t="shared" si="81"/>
        <v>584.21613009445855</v>
      </c>
      <c r="AV126">
        <v>116</v>
      </c>
      <c r="AW126">
        <f t="shared" si="82"/>
        <v>-306.85980275235426</v>
      </c>
      <c r="AX126">
        <f t="shared" si="83"/>
        <v>629.1558324094168</v>
      </c>
      <c r="AZ126">
        <f t="shared" si="85"/>
        <v>494.97474683058329</v>
      </c>
      <c r="BA126">
        <f t="shared" si="84"/>
        <v>494.97474683058323</v>
      </c>
    </row>
    <row r="127" spans="9:53" x14ac:dyDescent="0.25">
      <c r="I127">
        <v>117</v>
      </c>
      <c r="J127">
        <f t="shared" si="68"/>
        <v>-226.99524986977335</v>
      </c>
      <c r="K127">
        <f t="shared" si="69"/>
        <v>445.50326209418392</v>
      </c>
      <c r="M127">
        <v>117</v>
      </c>
      <c r="N127">
        <f t="shared" si="70"/>
        <v>-261.04453735023935</v>
      </c>
      <c r="O127">
        <f t="shared" si="71"/>
        <v>512.32875140831152</v>
      </c>
      <c r="Q127">
        <f t="shared" si="72"/>
        <v>267.30195725651038</v>
      </c>
      <c r="R127">
        <f t="shared" si="73"/>
        <v>-136.197149921864</v>
      </c>
      <c r="S127">
        <f t="shared" si="66"/>
        <v>119.30195725651038</v>
      </c>
      <c r="T127">
        <f t="shared" si="67"/>
        <v>-136.197149921864</v>
      </c>
      <c r="V127">
        <f t="shared" si="74"/>
        <v>267.30195725651038</v>
      </c>
      <c r="W127">
        <f t="shared" si="75"/>
        <v>-136.197149921864</v>
      </c>
      <c r="X127">
        <f t="shared" si="76"/>
        <v>119.30195725651038</v>
      </c>
      <c r="Y127">
        <f t="shared" si="77"/>
        <v>-136.197149921864</v>
      </c>
      <c r="AA127">
        <v>117</v>
      </c>
      <c r="AB127">
        <f t="shared" si="78"/>
        <v>-204.29572488279601</v>
      </c>
      <c r="AC127">
        <f t="shared" si="79"/>
        <v>400.95293588476557</v>
      </c>
      <c r="AD127">
        <v>117</v>
      </c>
      <c r="AE127">
        <f t="shared" si="80"/>
        <v>-295.09382483070533</v>
      </c>
      <c r="AF127">
        <f t="shared" si="81"/>
        <v>579.15424072243911</v>
      </c>
      <c r="AV127">
        <v>117</v>
      </c>
      <c r="AW127">
        <f t="shared" si="82"/>
        <v>-317.79334981768267</v>
      </c>
      <c r="AX127">
        <f t="shared" si="83"/>
        <v>623.70456693185758</v>
      </c>
      <c r="AZ127">
        <f t="shared" si="85"/>
        <v>494.97474683058329</v>
      </c>
      <c r="BA127">
        <f t="shared" si="84"/>
        <v>494.97474683058323</v>
      </c>
    </row>
    <row r="128" spans="9:53" x14ac:dyDescent="0.25">
      <c r="I128">
        <v>118</v>
      </c>
      <c r="J128">
        <f t="shared" si="68"/>
        <v>-234.73578139294526</v>
      </c>
      <c r="K128">
        <f t="shared" si="69"/>
        <v>441.47379642946356</v>
      </c>
      <c r="M128">
        <v>118</v>
      </c>
      <c r="N128">
        <f t="shared" si="70"/>
        <v>-269.94614860188705</v>
      </c>
      <c r="O128">
        <f t="shared" si="71"/>
        <v>507.6948658938831</v>
      </c>
      <c r="Q128">
        <f t="shared" si="72"/>
        <v>264.88427785767811</v>
      </c>
      <c r="R128">
        <f t="shared" si="73"/>
        <v>-140.84146883576716</v>
      </c>
      <c r="S128">
        <f t="shared" si="66"/>
        <v>116.88427785767811</v>
      </c>
      <c r="T128">
        <f t="shared" si="67"/>
        <v>-140.84146883576716</v>
      </c>
      <c r="V128">
        <f t="shared" si="74"/>
        <v>264.88427785767811</v>
      </c>
      <c r="W128">
        <f t="shared" si="75"/>
        <v>-140.84146883576716</v>
      </c>
      <c r="X128">
        <f t="shared" si="76"/>
        <v>116.88427785767811</v>
      </c>
      <c r="Y128">
        <f t="shared" si="77"/>
        <v>-140.84146883576716</v>
      </c>
      <c r="AA128">
        <v>118</v>
      </c>
      <c r="AB128">
        <f t="shared" si="78"/>
        <v>-211.26220325365074</v>
      </c>
      <c r="AC128">
        <f t="shared" si="79"/>
        <v>397.3264167865172</v>
      </c>
      <c r="AD128">
        <v>118</v>
      </c>
      <c r="AE128">
        <f t="shared" si="80"/>
        <v>-305.15651581082886</v>
      </c>
      <c r="AF128">
        <f t="shared" si="81"/>
        <v>573.91593535830259</v>
      </c>
      <c r="AV128">
        <v>118</v>
      </c>
      <c r="AW128">
        <f t="shared" si="82"/>
        <v>-328.63009395012335</v>
      </c>
      <c r="AX128">
        <f t="shared" si="83"/>
        <v>618.06331500124895</v>
      </c>
      <c r="AZ128">
        <f t="shared" si="85"/>
        <v>494.97474683058329</v>
      </c>
      <c r="BA128">
        <f t="shared" si="84"/>
        <v>494.97474683058323</v>
      </c>
    </row>
    <row r="129" spans="9:53" x14ac:dyDescent="0.25">
      <c r="I129">
        <v>119</v>
      </c>
      <c r="J129">
        <f t="shared" si="68"/>
        <v>-242.40481012316849</v>
      </c>
      <c r="K129">
        <f t="shared" si="69"/>
        <v>437.30985356969791</v>
      </c>
      <c r="M129">
        <v>119</v>
      </c>
      <c r="N129">
        <f t="shared" si="70"/>
        <v>-278.7655316416438</v>
      </c>
      <c r="O129">
        <f t="shared" si="71"/>
        <v>502.90633160515262</v>
      </c>
      <c r="Q129">
        <f t="shared" si="72"/>
        <v>262.38591214181878</v>
      </c>
      <c r="R129">
        <f t="shared" si="73"/>
        <v>-145.44288607390109</v>
      </c>
      <c r="S129">
        <f t="shared" si="66"/>
        <v>114.38591214181878</v>
      </c>
      <c r="T129">
        <f t="shared" si="67"/>
        <v>-145.44288607390109</v>
      </c>
      <c r="V129">
        <f t="shared" si="74"/>
        <v>262.38591214181878</v>
      </c>
      <c r="W129">
        <f t="shared" si="75"/>
        <v>-145.44288607390109</v>
      </c>
      <c r="X129">
        <f t="shared" si="76"/>
        <v>114.38591214181878</v>
      </c>
      <c r="Y129">
        <f t="shared" si="77"/>
        <v>-145.44288607390109</v>
      </c>
      <c r="AA129">
        <v>119</v>
      </c>
      <c r="AB129">
        <f t="shared" si="78"/>
        <v>-218.16432911085164</v>
      </c>
      <c r="AC129">
        <f t="shared" si="79"/>
        <v>393.57886821272814</v>
      </c>
      <c r="AD129">
        <v>119</v>
      </c>
      <c r="AE129">
        <f t="shared" si="80"/>
        <v>-315.12625316011906</v>
      </c>
      <c r="AF129">
        <f t="shared" si="81"/>
        <v>568.50280964060732</v>
      </c>
      <c r="AV129">
        <v>119</v>
      </c>
      <c r="AW129">
        <f t="shared" si="82"/>
        <v>-339.36673417243588</v>
      </c>
      <c r="AX129">
        <f t="shared" si="83"/>
        <v>612.23379499757709</v>
      </c>
      <c r="AZ129">
        <f t="shared" si="85"/>
        <v>494.97474683058329</v>
      </c>
      <c r="BA129">
        <f t="shared" si="84"/>
        <v>494.97474683058323</v>
      </c>
    </row>
    <row r="130" spans="9:53" x14ac:dyDescent="0.25">
      <c r="I130">
        <v>120</v>
      </c>
      <c r="J130">
        <f t="shared" si="68"/>
        <v>-249.99999999999989</v>
      </c>
      <c r="K130">
        <f t="shared" si="69"/>
        <v>433.01270189221935</v>
      </c>
      <c r="M130">
        <v>120</v>
      </c>
      <c r="N130">
        <f t="shared" si="70"/>
        <v>-287.49999999999989</v>
      </c>
      <c r="O130">
        <f t="shared" si="71"/>
        <v>497.96460717605225</v>
      </c>
      <c r="Q130">
        <f t="shared" si="72"/>
        <v>259.8076211353316</v>
      </c>
      <c r="R130">
        <f t="shared" si="73"/>
        <v>-149.99999999999994</v>
      </c>
      <c r="S130">
        <f t="shared" si="66"/>
        <v>111.8076211353316</v>
      </c>
      <c r="T130">
        <f t="shared" si="67"/>
        <v>-149.99999999999994</v>
      </c>
      <c r="V130">
        <f t="shared" si="74"/>
        <v>259.8076211353316</v>
      </c>
      <c r="W130">
        <f t="shared" si="75"/>
        <v>-149.99999999999994</v>
      </c>
      <c r="X130">
        <f t="shared" si="76"/>
        <v>111.8076211353316</v>
      </c>
      <c r="Y130">
        <f t="shared" si="77"/>
        <v>-149.99999999999994</v>
      </c>
      <c r="AA130">
        <v>120</v>
      </c>
      <c r="AB130">
        <f t="shared" si="78"/>
        <v>-224.99999999999989</v>
      </c>
      <c r="AC130">
        <f t="shared" si="79"/>
        <v>389.7114317029974</v>
      </c>
      <c r="AD130">
        <v>120</v>
      </c>
      <c r="AE130">
        <f t="shared" si="80"/>
        <v>-324.99999999999983</v>
      </c>
      <c r="AF130">
        <f t="shared" si="81"/>
        <v>562.91651245988521</v>
      </c>
      <c r="AV130">
        <v>120</v>
      </c>
      <c r="AW130">
        <f t="shared" si="82"/>
        <v>-349.99999999999983</v>
      </c>
      <c r="AX130">
        <f t="shared" si="83"/>
        <v>606.21778264910711</v>
      </c>
      <c r="AZ130">
        <f t="shared" si="85"/>
        <v>494.97474683058329</v>
      </c>
      <c r="BA130">
        <f t="shared" si="84"/>
        <v>494.97474683058323</v>
      </c>
    </row>
    <row r="131" spans="9:53" x14ac:dyDescent="0.25">
      <c r="I131">
        <v>121</v>
      </c>
      <c r="J131">
        <f t="shared" si="68"/>
        <v>-257.51903745502716</v>
      </c>
      <c r="K131">
        <f t="shared" si="69"/>
        <v>428.58365035105618</v>
      </c>
      <c r="M131">
        <v>121</v>
      </c>
      <c r="N131">
        <f t="shared" si="70"/>
        <v>-296.14689307328121</v>
      </c>
      <c r="O131">
        <f t="shared" si="71"/>
        <v>492.87119790371457</v>
      </c>
      <c r="Q131">
        <f t="shared" si="72"/>
        <v>257.1501902106337</v>
      </c>
      <c r="R131">
        <f t="shared" si="73"/>
        <v>-154.51142247301627</v>
      </c>
      <c r="S131">
        <f t="shared" si="66"/>
        <v>109.1501902106337</v>
      </c>
      <c r="T131">
        <f t="shared" si="67"/>
        <v>-154.51142247301627</v>
      </c>
      <c r="V131">
        <f t="shared" si="74"/>
        <v>257.1501902106337</v>
      </c>
      <c r="W131">
        <f t="shared" si="75"/>
        <v>-154.51142247301627</v>
      </c>
      <c r="X131">
        <f t="shared" si="76"/>
        <v>109.1501902106337</v>
      </c>
      <c r="Y131">
        <f t="shared" si="77"/>
        <v>-154.51142247301627</v>
      </c>
      <c r="AA131">
        <v>121</v>
      </c>
      <c r="AB131">
        <f t="shared" si="78"/>
        <v>-231.76713370952442</v>
      </c>
      <c r="AC131">
        <f t="shared" si="79"/>
        <v>385.72528531595054</v>
      </c>
      <c r="AD131">
        <v>121</v>
      </c>
      <c r="AE131">
        <f t="shared" si="80"/>
        <v>-334.77474869153525</v>
      </c>
      <c r="AF131">
        <f t="shared" si="81"/>
        <v>557.15874545637303</v>
      </c>
      <c r="AV131">
        <v>121</v>
      </c>
      <c r="AW131">
        <f t="shared" si="82"/>
        <v>-360.52665243703797</v>
      </c>
      <c r="AX131">
        <f t="shared" si="83"/>
        <v>600.01711049147866</v>
      </c>
      <c r="AZ131">
        <f t="shared" si="85"/>
        <v>494.97474683058329</v>
      </c>
      <c r="BA131">
        <f t="shared" si="84"/>
        <v>494.97474683058323</v>
      </c>
    </row>
    <row r="132" spans="9:53" x14ac:dyDescent="0.25">
      <c r="I132">
        <v>122</v>
      </c>
      <c r="J132">
        <f t="shared" si="68"/>
        <v>-264.95963211660239</v>
      </c>
      <c r="K132">
        <f t="shared" si="69"/>
        <v>424.02404807821301</v>
      </c>
      <c r="M132">
        <v>122</v>
      </c>
      <c r="N132">
        <f t="shared" si="70"/>
        <v>-304.70357693409278</v>
      </c>
      <c r="O132">
        <f t="shared" si="71"/>
        <v>487.62765528994498</v>
      </c>
      <c r="Q132">
        <f t="shared" si="72"/>
        <v>254.41442884692782</v>
      </c>
      <c r="R132">
        <f t="shared" si="73"/>
        <v>-158.97577926996144</v>
      </c>
      <c r="S132">
        <f t="shared" si="66"/>
        <v>106.41442884692782</v>
      </c>
      <c r="T132">
        <f t="shared" si="67"/>
        <v>-158.97577926996144</v>
      </c>
      <c r="V132">
        <f t="shared" si="74"/>
        <v>254.41442884692782</v>
      </c>
      <c r="W132">
        <f t="shared" si="75"/>
        <v>-158.97577926996144</v>
      </c>
      <c r="X132">
        <f t="shared" si="76"/>
        <v>106.41442884692782</v>
      </c>
      <c r="Y132">
        <f t="shared" si="77"/>
        <v>-158.97577926996144</v>
      </c>
      <c r="AA132">
        <v>122</v>
      </c>
      <c r="AB132">
        <f t="shared" si="78"/>
        <v>-238.46366890494215</v>
      </c>
      <c r="AC132">
        <f t="shared" si="79"/>
        <v>381.62164327039176</v>
      </c>
      <c r="AD132">
        <v>122</v>
      </c>
      <c r="AE132">
        <f t="shared" si="80"/>
        <v>-344.44752175158311</v>
      </c>
      <c r="AF132">
        <f t="shared" si="81"/>
        <v>551.23126250167695</v>
      </c>
      <c r="AV132">
        <v>122</v>
      </c>
      <c r="AW132">
        <f t="shared" si="82"/>
        <v>-370.94348496324335</v>
      </c>
      <c r="AX132">
        <f t="shared" si="83"/>
        <v>593.63366730949826</v>
      </c>
      <c r="AZ132">
        <f t="shared" si="85"/>
        <v>494.97474683058329</v>
      </c>
      <c r="BA132">
        <f t="shared" si="84"/>
        <v>494.97474683058323</v>
      </c>
    </row>
    <row r="133" spans="9:53" x14ac:dyDescent="0.25">
      <c r="I133">
        <v>123</v>
      </c>
      <c r="J133">
        <f t="shared" si="68"/>
        <v>-272.31951750751352</v>
      </c>
      <c r="K133">
        <f t="shared" si="69"/>
        <v>419.33528397271198</v>
      </c>
      <c r="M133">
        <v>123</v>
      </c>
      <c r="N133">
        <f t="shared" si="70"/>
        <v>-313.16744513364057</v>
      </c>
      <c r="O133">
        <f t="shared" si="71"/>
        <v>482.23557656861874</v>
      </c>
      <c r="Q133">
        <f t="shared" si="72"/>
        <v>251.60117038362719</v>
      </c>
      <c r="R133">
        <f t="shared" si="73"/>
        <v>-163.39171050450813</v>
      </c>
      <c r="S133">
        <f t="shared" si="66"/>
        <v>103.60117038362719</v>
      </c>
      <c r="T133">
        <f t="shared" si="67"/>
        <v>-163.39171050450813</v>
      </c>
      <c r="V133">
        <f t="shared" si="74"/>
        <v>251.60117038362719</v>
      </c>
      <c r="W133">
        <f t="shared" si="75"/>
        <v>-163.39171050450813</v>
      </c>
      <c r="X133">
        <f t="shared" si="76"/>
        <v>103.60117038362719</v>
      </c>
      <c r="Y133">
        <f t="shared" si="77"/>
        <v>-163.39171050450813</v>
      </c>
      <c r="AA133">
        <v>123</v>
      </c>
      <c r="AB133">
        <f t="shared" si="78"/>
        <v>-245.08756575676219</v>
      </c>
      <c r="AC133">
        <f t="shared" si="79"/>
        <v>377.40175557544075</v>
      </c>
      <c r="AD133">
        <v>123</v>
      </c>
      <c r="AE133">
        <f t="shared" si="80"/>
        <v>-354.01537275976762</v>
      </c>
      <c r="AF133">
        <f t="shared" si="81"/>
        <v>545.13586916452562</v>
      </c>
      <c r="AV133">
        <v>123</v>
      </c>
      <c r="AW133">
        <f t="shared" si="82"/>
        <v>-381.24732451051898</v>
      </c>
      <c r="AX133">
        <f t="shared" si="83"/>
        <v>587.06939756179679</v>
      </c>
      <c r="AZ133">
        <f t="shared" si="85"/>
        <v>494.97474683058329</v>
      </c>
      <c r="BA133">
        <f t="shared" si="84"/>
        <v>494.97474683058323</v>
      </c>
    </row>
    <row r="134" spans="9:53" x14ac:dyDescent="0.25">
      <c r="I134">
        <v>124</v>
      </c>
      <c r="J134">
        <f t="shared" si="68"/>
        <v>-279.59645173537336</v>
      </c>
      <c r="K134">
        <f t="shared" si="69"/>
        <v>414.51878627752086</v>
      </c>
      <c r="M134">
        <v>124</v>
      </c>
      <c r="N134">
        <f t="shared" si="70"/>
        <v>-321.53591949567937</v>
      </c>
      <c r="O134">
        <f t="shared" si="71"/>
        <v>476.69660421914898</v>
      </c>
      <c r="Q134">
        <f t="shared" si="72"/>
        <v>248.71127176651251</v>
      </c>
      <c r="R134">
        <f t="shared" si="73"/>
        <v>-167.75787104122401</v>
      </c>
      <c r="S134">
        <f t="shared" si="66"/>
        <v>100.71127176651251</v>
      </c>
      <c r="T134">
        <f t="shared" si="67"/>
        <v>-167.75787104122401</v>
      </c>
      <c r="V134">
        <f t="shared" si="74"/>
        <v>248.71127176651251</v>
      </c>
      <c r="W134">
        <f t="shared" si="75"/>
        <v>-167.75787104122401</v>
      </c>
      <c r="X134">
        <f t="shared" si="76"/>
        <v>100.71127176651251</v>
      </c>
      <c r="Y134">
        <f t="shared" si="77"/>
        <v>-167.75787104122401</v>
      </c>
      <c r="AA134">
        <v>124</v>
      </c>
      <c r="AB134">
        <f t="shared" si="78"/>
        <v>-251.63680656183601</v>
      </c>
      <c r="AC134">
        <f t="shared" si="79"/>
        <v>373.06690764976878</v>
      </c>
      <c r="AD134">
        <v>124</v>
      </c>
      <c r="AE134">
        <f t="shared" si="80"/>
        <v>-363.47538725598537</v>
      </c>
      <c r="AF134">
        <f t="shared" si="81"/>
        <v>538.87442216077716</v>
      </c>
      <c r="AV134">
        <v>124</v>
      </c>
      <c r="AW134">
        <f t="shared" si="82"/>
        <v>-391.43503242952266</v>
      </c>
      <c r="AX134">
        <f t="shared" si="83"/>
        <v>580.32630078852924</v>
      </c>
      <c r="AZ134">
        <f t="shared" si="85"/>
        <v>494.97474683058329</v>
      </c>
      <c r="BA134">
        <f t="shared" si="84"/>
        <v>494.97474683058323</v>
      </c>
    </row>
    <row r="135" spans="9:53" x14ac:dyDescent="0.25">
      <c r="I135">
        <v>125</v>
      </c>
      <c r="J135">
        <f t="shared" si="68"/>
        <v>-286.7882181755229</v>
      </c>
      <c r="K135">
        <f t="shared" si="69"/>
        <v>409.57602214449599</v>
      </c>
      <c r="M135">
        <v>125</v>
      </c>
      <c r="N135">
        <f t="shared" si="70"/>
        <v>-329.80645090185135</v>
      </c>
      <c r="O135">
        <f t="shared" si="71"/>
        <v>471.01242546617038</v>
      </c>
      <c r="Q135">
        <f t="shared" si="72"/>
        <v>245.74561328669762</v>
      </c>
      <c r="R135">
        <f t="shared" si="73"/>
        <v>-172.07293090531374</v>
      </c>
      <c r="S135">
        <f t="shared" si="66"/>
        <v>97.745613286697619</v>
      </c>
      <c r="T135">
        <f t="shared" si="67"/>
        <v>-172.07293090531374</v>
      </c>
      <c r="V135">
        <f t="shared" si="74"/>
        <v>245.74561328669762</v>
      </c>
      <c r="W135">
        <f t="shared" si="75"/>
        <v>-172.07293090531374</v>
      </c>
      <c r="X135">
        <f t="shared" si="76"/>
        <v>97.745613286697619</v>
      </c>
      <c r="Y135">
        <f t="shared" si="77"/>
        <v>-172.07293090531374</v>
      </c>
      <c r="AA135">
        <v>125</v>
      </c>
      <c r="AB135">
        <f t="shared" si="78"/>
        <v>-258.10939635797064</v>
      </c>
      <c r="AC135">
        <f t="shared" si="79"/>
        <v>368.6184199300464</v>
      </c>
      <c r="AD135">
        <v>125</v>
      </c>
      <c r="AE135">
        <f t="shared" si="80"/>
        <v>-372.8246836281798</v>
      </c>
      <c r="AF135">
        <f t="shared" si="81"/>
        <v>532.44882878784483</v>
      </c>
      <c r="AV135">
        <v>125</v>
      </c>
      <c r="AW135">
        <f t="shared" si="82"/>
        <v>-401.50350544573206</v>
      </c>
      <c r="AX135">
        <f t="shared" si="83"/>
        <v>573.40643100229443</v>
      </c>
      <c r="AZ135">
        <f t="shared" si="85"/>
        <v>494.97474683058329</v>
      </c>
      <c r="BA135">
        <f t="shared" si="84"/>
        <v>494.97474683058323</v>
      </c>
    </row>
    <row r="136" spans="9:53" x14ac:dyDescent="0.25">
      <c r="I136">
        <v>126</v>
      </c>
      <c r="J136">
        <f t="shared" si="68"/>
        <v>-293.89262614623652</v>
      </c>
      <c r="K136">
        <f t="shared" si="69"/>
        <v>404.50849718747372</v>
      </c>
      <c r="M136">
        <v>126</v>
      </c>
      <c r="N136">
        <f t="shared" si="70"/>
        <v>-337.97652006817196</v>
      </c>
      <c r="O136">
        <f t="shared" si="71"/>
        <v>465.1847717655948</v>
      </c>
      <c r="Q136">
        <f t="shared" si="72"/>
        <v>242.70509831248424</v>
      </c>
      <c r="R136">
        <f t="shared" si="73"/>
        <v>-176.33557568774191</v>
      </c>
      <c r="S136">
        <f t="shared" si="66"/>
        <v>94.705098312484239</v>
      </c>
      <c r="T136">
        <f t="shared" si="67"/>
        <v>-176.33557568774191</v>
      </c>
      <c r="V136">
        <f t="shared" si="74"/>
        <v>242.70509831248424</v>
      </c>
      <c r="W136">
        <f t="shared" si="75"/>
        <v>-176.33557568774191</v>
      </c>
      <c r="X136">
        <f t="shared" si="76"/>
        <v>94.705098312484239</v>
      </c>
      <c r="Y136">
        <f t="shared" si="77"/>
        <v>-176.33557568774191</v>
      </c>
      <c r="AA136">
        <v>126</v>
      </c>
      <c r="AB136">
        <f t="shared" si="78"/>
        <v>-264.50336353161288</v>
      </c>
      <c r="AC136">
        <f t="shared" si="79"/>
        <v>364.05764746872637</v>
      </c>
      <c r="AD136">
        <v>126</v>
      </c>
      <c r="AE136">
        <f t="shared" si="80"/>
        <v>-382.06041399010746</v>
      </c>
      <c r="AF136">
        <f t="shared" si="81"/>
        <v>525.86104634371588</v>
      </c>
      <c r="AV136">
        <v>126</v>
      </c>
      <c r="AW136">
        <f t="shared" si="82"/>
        <v>-411.44967660473111</v>
      </c>
      <c r="AX136">
        <f t="shared" si="83"/>
        <v>566.31189606246323</v>
      </c>
      <c r="AZ136">
        <f t="shared" si="85"/>
        <v>494.97474683058329</v>
      </c>
      <c r="BA136">
        <f t="shared" si="84"/>
        <v>494.97474683058323</v>
      </c>
    </row>
    <row r="137" spans="9:53" x14ac:dyDescent="0.25">
      <c r="I137">
        <v>127</v>
      </c>
      <c r="J137">
        <f t="shared" si="68"/>
        <v>-300.90751157602421</v>
      </c>
      <c r="K137">
        <f t="shared" si="69"/>
        <v>399.31775502364638</v>
      </c>
      <c r="M137">
        <v>127</v>
      </c>
      <c r="N137">
        <f t="shared" si="70"/>
        <v>-346.04363831242784</v>
      </c>
      <c r="O137">
        <f t="shared" si="71"/>
        <v>459.21541827719329</v>
      </c>
      <c r="Q137">
        <f t="shared" si="72"/>
        <v>239.59065301418781</v>
      </c>
      <c r="R137">
        <f t="shared" si="73"/>
        <v>-180.5445069456145</v>
      </c>
      <c r="S137">
        <f t="shared" si="66"/>
        <v>91.590653014187808</v>
      </c>
      <c r="T137">
        <f t="shared" si="67"/>
        <v>-180.5445069456145</v>
      </c>
      <c r="V137">
        <f t="shared" si="74"/>
        <v>239.59065301418781</v>
      </c>
      <c r="W137">
        <f t="shared" si="75"/>
        <v>-180.5445069456145</v>
      </c>
      <c r="X137">
        <f t="shared" si="76"/>
        <v>91.590653014187808</v>
      </c>
      <c r="Y137">
        <f t="shared" si="77"/>
        <v>-180.5445069456145</v>
      </c>
      <c r="AA137">
        <v>127</v>
      </c>
      <c r="AB137">
        <f t="shared" si="78"/>
        <v>-270.81676041842178</v>
      </c>
      <c r="AC137">
        <f t="shared" si="79"/>
        <v>359.38597952128174</v>
      </c>
      <c r="AD137">
        <v>127</v>
      </c>
      <c r="AE137">
        <f t="shared" si="80"/>
        <v>-391.17976504883143</v>
      </c>
      <c r="AF137">
        <f t="shared" si="81"/>
        <v>519.11308153074026</v>
      </c>
      <c r="AV137">
        <v>127</v>
      </c>
      <c r="AW137">
        <f t="shared" si="82"/>
        <v>-421.27051620643385</v>
      </c>
      <c r="AX137">
        <f t="shared" si="83"/>
        <v>559.0448570331049</v>
      </c>
      <c r="AZ137">
        <f t="shared" si="85"/>
        <v>494.97474683058329</v>
      </c>
      <c r="BA137">
        <f t="shared" si="84"/>
        <v>494.97474683058323</v>
      </c>
    </row>
    <row r="138" spans="9:53" x14ac:dyDescent="0.25">
      <c r="I138">
        <v>128</v>
      </c>
      <c r="J138">
        <f t="shared" si="68"/>
        <v>-307.83073766282916</v>
      </c>
      <c r="K138">
        <f t="shared" si="69"/>
        <v>394.005376803361</v>
      </c>
      <c r="M138">
        <v>128</v>
      </c>
      <c r="N138">
        <f t="shared" si="70"/>
        <v>-354.00534831225355</v>
      </c>
      <c r="O138">
        <f t="shared" si="71"/>
        <v>453.10618332386514</v>
      </c>
      <c r="Q138">
        <f t="shared" si="72"/>
        <v>236.4032260820166</v>
      </c>
      <c r="R138">
        <f t="shared" si="73"/>
        <v>-184.69844259769749</v>
      </c>
      <c r="S138">
        <f t="shared" si="66"/>
        <v>88.403226082016602</v>
      </c>
      <c r="T138">
        <f t="shared" si="67"/>
        <v>-184.69844259769749</v>
      </c>
      <c r="V138">
        <f t="shared" si="74"/>
        <v>236.4032260820166</v>
      </c>
      <c r="W138">
        <f t="shared" si="75"/>
        <v>-184.69844259769749</v>
      </c>
      <c r="X138">
        <f t="shared" si="76"/>
        <v>88.403226082016602</v>
      </c>
      <c r="Y138">
        <f t="shared" si="77"/>
        <v>-184.69844259769749</v>
      </c>
      <c r="AA138">
        <v>128</v>
      </c>
      <c r="AB138">
        <f t="shared" si="78"/>
        <v>-277.04766389654623</v>
      </c>
      <c r="AC138">
        <f t="shared" si="79"/>
        <v>354.60483912302493</v>
      </c>
      <c r="AD138">
        <v>128</v>
      </c>
      <c r="AE138">
        <f t="shared" si="80"/>
        <v>-400.17995896167787</v>
      </c>
      <c r="AF138">
        <f t="shared" si="81"/>
        <v>512.20698984436933</v>
      </c>
      <c r="AV138">
        <v>128</v>
      </c>
      <c r="AW138">
        <f t="shared" si="82"/>
        <v>-430.96303272796081</v>
      </c>
      <c r="AX138">
        <f t="shared" si="83"/>
        <v>551.60752752470546</v>
      </c>
      <c r="AZ138">
        <f t="shared" si="85"/>
        <v>494.97474683058329</v>
      </c>
      <c r="BA138">
        <f t="shared" si="84"/>
        <v>494.97474683058323</v>
      </c>
    </row>
    <row r="139" spans="9:53" x14ac:dyDescent="0.25">
      <c r="I139">
        <v>129</v>
      </c>
      <c r="J139">
        <f t="shared" si="68"/>
        <v>-314.66019552491866</v>
      </c>
      <c r="K139">
        <f t="shared" si="69"/>
        <v>388.5729807284855</v>
      </c>
      <c r="M139">
        <v>129</v>
      </c>
      <c r="N139">
        <f t="shared" si="70"/>
        <v>-361.85922485365643</v>
      </c>
      <c r="O139">
        <f t="shared" si="71"/>
        <v>446.85892783775836</v>
      </c>
      <c r="Q139">
        <f t="shared" si="72"/>
        <v>233.1437884370913</v>
      </c>
      <c r="R139">
        <f t="shared" si="73"/>
        <v>-188.79611731495118</v>
      </c>
      <c r="S139">
        <f t="shared" ref="S139:S202" si="86">Q139+$T$7</f>
        <v>85.143788437091303</v>
      </c>
      <c r="T139">
        <f t="shared" ref="T139:T202" si="87">R139+$T$8</f>
        <v>-188.79611731495118</v>
      </c>
      <c r="V139">
        <f t="shared" si="74"/>
        <v>233.1437884370913</v>
      </c>
      <c r="W139">
        <f t="shared" si="75"/>
        <v>-188.79611731495118</v>
      </c>
      <c r="X139">
        <f t="shared" si="76"/>
        <v>85.143788437091303</v>
      </c>
      <c r="Y139">
        <f t="shared" si="77"/>
        <v>-188.79611731495118</v>
      </c>
      <c r="AA139">
        <v>129</v>
      </c>
      <c r="AB139">
        <f t="shared" si="78"/>
        <v>-283.19417597242676</v>
      </c>
      <c r="AC139">
        <f t="shared" si="79"/>
        <v>349.71568265563695</v>
      </c>
      <c r="AD139">
        <v>129</v>
      </c>
      <c r="AE139">
        <f t="shared" si="80"/>
        <v>-409.05825418239425</v>
      </c>
      <c r="AF139">
        <f t="shared" si="81"/>
        <v>505.14487494703116</v>
      </c>
      <c r="AV139">
        <v>129</v>
      </c>
      <c r="AW139">
        <f t="shared" si="82"/>
        <v>-440.52427373488609</v>
      </c>
      <c r="AX139">
        <f t="shared" si="83"/>
        <v>544.00217301987971</v>
      </c>
      <c r="AZ139">
        <f t="shared" si="85"/>
        <v>494.97474683058329</v>
      </c>
      <c r="BA139">
        <f t="shared" si="84"/>
        <v>494.97474683058323</v>
      </c>
    </row>
    <row r="140" spans="9:53" x14ac:dyDescent="0.25">
      <c r="I140">
        <v>130</v>
      </c>
      <c r="J140">
        <f t="shared" ref="J140:J203" si="88">COS(I140*PI()/180)*$J$8</f>
        <v>-321.39380484326966</v>
      </c>
      <c r="K140">
        <f t="shared" ref="K140:K203" si="89">SIN(I140*PI()/180)*$J$8</f>
        <v>383.02222155948903</v>
      </c>
      <c r="M140">
        <v>130</v>
      </c>
      <c r="N140">
        <f t="shared" ref="N140:N203" si="90">COS(M140*PI()/180)*$N$8</f>
        <v>-369.60287556976016</v>
      </c>
      <c r="O140">
        <f t="shared" ref="O140:O203" si="91">SIN(M140*PI()/180)*$N$8</f>
        <v>440.47555479341236</v>
      </c>
      <c r="Q140">
        <f t="shared" ref="Q140:Q203" si="92">SIN(I140*PI()/180)*$Q$8</f>
        <v>229.81333293569341</v>
      </c>
      <c r="R140">
        <f t="shared" ref="R140:R203" si="93">COS(I140*PI()/180)*$Q$8</f>
        <v>-192.83628290596181</v>
      </c>
      <c r="S140">
        <f t="shared" si="86"/>
        <v>81.81333293569341</v>
      </c>
      <c r="T140">
        <f t="shared" si="87"/>
        <v>-192.83628290596181</v>
      </c>
      <c r="V140">
        <f t="shared" ref="V140:V203" si="94">SIN(I140*PI()/180)*$V$8</f>
        <v>229.81333293569341</v>
      </c>
      <c r="W140">
        <f t="shared" ref="W140:W203" si="95">COS(I140*PI()/180)*$V$8</f>
        <v>-192.83628290596181</v>
      </c>
      <c r="X140">
        <f t="shared" ref="X140:X203" si="96">V140+$Y$7</f>
        <v>81.81333293569341</v>
      </c>
      <c r="Y140">
        <f t="shared" ref="Y140:Y203" si="97">W140+$Y$8</f>
        <v>-192.83628290596181</v>
      </c>
      <c r="AA140">
        <v>130</v>
      </c>
      <c r="AB140">
        <f t="shared" ref="AB140:AB203" si="98">COS(AA140*PI()/180)*$AB$8</f>
        <v>-289.25442435894269</v>
      </c>
      <c r="AC140">
        <f t="shared" ref="AC140:AC203" si="99">SIN(AA140*PI()/180)*$AB$8</f>
        <v>344.7199994035401</v>
      </c>
      <c r="AD140">
        <v>130</v>
      </c>
      <c r="AE140">
        <f t="shared" ref="AE140:AE203" si="100">COS(AD140*PI()/180)*$AE$8</f>
        <v>-417.8119462962506</v>
      </c>
      <c r="AF140">
        <f t="shared" ref="AF140:AF203" si="101">SIN(AD140*PI()/180)*$AE$8</f>
        <v>497.92888802733569</v>
      </c>
      <c r="AV140">
        <v>130</v>
      </c>
      <c r="AW140">
        <f t="shared" ref="AW140:AW203" si="102">COS(AV140*PI()/180)*$AW$8</f>
        <v>-449.95132678057757</v>
      </c>
      <c r="AX140">
        <f t="shared" ref="AX140:AX203" si="103">SIN(AV140*PI()/180)*$AW$8</f>
        <v>536.23111018328461</v>
      </c>
      <c r="AZ140">
        <f t="shared" si="85"/>
        <v>494.97474683058329</v>
      </c>
      <c r="BA140">
        <f t="shared" ref="BA140:BA188" si="104">IF(AV140&lt;$BE$7,AX140,VLOOKUP($BE$7,$AV$11:$AX$370,3,0))</f>
        <v>494.97474683058323</v>
      </c>
    </row>
    <row r="141" spans="9:53" x14ac:dyDescent="0.25">
      <c r="I141">
        <v>131</v>
      </c>
      <c r="J141">
        <f t="shared" si="88"/>
        <v>-328.02951449525375</v>
      </c>
      <c r="K141">
        <f t="shared" si="89"/>
        <v>377.35479011138591</v>
      </c>
      <c r="M141">
        <v>131</v>
      </c>
      <c r="N141">
        <f t="shared" si="90"/>
        <v>-377.23394166954182</v>
      </c>
      <c r="O141">
        <f t="shared" si="91"/>
        <v>433.95800862809381</v>
      </c>
      <c r="Q141">
        <f t="shared" si="92"/>
        <v>226.41287406683153</v>
      </c>
      <c r="R141">
        <f t="shared" si="93"/>
        <v>-196.81770869715226</v>
      </c>
      <c r="S141">
        <f t="shared" si="86"/>
        <v>78.412874066831534</v>
      </c>
      <c r="T141">
        <f t="shared" si="87"/>
        <v>-196.81770869715226</v>
      </c>
      <c r="V141">
        <f t="shared" si="94"/>
        <v>226.41287406683153</v>
      </c>
      <c r="W141">
        <f t="shared" si="95"/>
        <v>-196.81770869715226</v>
      </c>
      <c r="X141">
        <f t="shared" si="96"/>
        <v>78.412874066831534</v>
      </c>
      <c r="Y141">
        <f t="shared" si="97"/>
        <v>-196.81770869715226</v>
      </c>
      <c r="AA141">
        <v>131</v>
      </c>
      <c r="AB141">
        <f t="shared" si="98"/>
        <v>-295.22656304572837</v>
      </c>
      <c r="AC141">
        <f t="shared" si="99"/>
        <v>339.61931110024733</v>
      </c>
      <c r="AD141">
        <v>131</v>
      </c>
      <c r="AE141">
        <f t="shared" si="100"/>
        <v>-426.43836884382989</v>
      </c>
      <c r="AF141">
        <f t="shared" si="101"/>
        <v>490.56122714480165</v>
      </c>
      <c r="AV141">
        <v>131</v>
      </c>
      <c r="AW141">
        <f t="shared" si="102"/>
        <v>-459.24132029335527</v>
      </c>
      <c r="AX141">
        <f t="shared" si="103"/>
        <v>528.29670615594023</v>
      </c>
      <c r="AZ141">
        <f t="shared" si="85"/>
        <v>494.97474683058329</v>
      </c>
      <c r="BA141">
        <f t="shared" si="104"/>
        <v>494.97474683058323</v>
      </c>
    </row>
    <row r="142" spans="9:53" x14ac:dyDescent="0.25">
      <c r="I142">
        <v>132</v>
      </c>
      <c r="J142">
        <f t="shared" si="88"/>
        <v>-334.56530317942912</v>
      </c>
      <c r="K142">
        <f t="shared" si="89"/>
        <v>371.5724127386971</v>
      </c>
      <c r="M142">
        <v>132</v>
      </c>
      <c r="N142">
        <f t="shared" si="90"/>
        <v>-384.75009865634348</v>
      </c>
      <c r="O142">
        <f t="shared" si="91"/>
        <v>427.3082746495017</v>
      </c>
      <c r="Q142">
        <f t="shared" si="92"/>
        <v>222.94344764321826</v>
      </c>
      <c r="R142">
        <f t="shared" si="93"/>
        <v>-200.73918190765747</v>
      </c>
      <c r="S142">
        <f t="shared" si="86"/>
        <v>74.943447643218263</v>
      </c>
      <c r="T142">
        <f t="shared" si="87"/>
        <v>-200.73918190765747</v>
      </c>
      <c r="V142">
        <f t="shared" si="94"/>
        <v>222.94344764321826</v>
      </c>
      <c r="W142">
        <f t="shared" si="95"/>
        <v>-200.73918190765747</v>
      </c>
      <c r="X142">
        <f t="shared" si="96"/>
        <v>74.943447643218263</v>
      </c>
      <c r="Y142">
        <f t="shared" si="97"/>
        <v>-200.73918190765747</v>
      </c>
      <c r="AA142">
        <v>132</v>
      </c>
      <c r="AB142">
        <f t="shared" si="98"/>
        <v>-301.10877286148622</v>
      </c>
      <c r="AC142">
        <f t="shared" si="99"/>
        <v>334.41517146482744</v>
      </c>
      <c r="AD142">
        <v>132</v>
      </c>
      <c r="AE142">
        <f t="shared" si="100"/>
        <v>-434.93489413325784</v>
      </c>
      <c r="AF142">
        <f t="shared" si="101"/>
        <v>483.04413656030624</v>
      </c>
      <c r="AV142">
        <v>132</v>
      </c>
      <c r="AW142">
        <f t="shared" si="102"/>
        <v>-468.39142445120075</v>
      </c>
      <c r="AX142">
        <f t="shared" si="103"/>
        <v>520.20137783417601</v>
      </c>
      <c r="AZ142">
        <f t="shared" si="85"/>
        <v>494.97474683058329</v>
      </c>
      <c r="BA142">
        <f t="shared" si="104"/>
        <v>494.97474683058323</v>
      </c>
    </row>
    <row r="143" spans="9:53" x14ac:dyDescent="0.25">
      <c r="I143">
        <v>133</v>
      </c>
      <c r="J143">
        <f t="shared" si="88"/>
        <v>-340.99918003124918</v>
      </c>
      <c r="K143">
        <f t="shared" si="89"/>
        <v>365.67685080958529</v>
      </c>
      <c r="M143">
        <v>133</v>
      </c>
      <c r="N143">
        <f t="shared" si="90"/>
        <v>-392.14905703593655</v>
      </c>
      <c r="O143">
        <f t="shared" si="91"/>
        <v>420.5283784310231</v>
      </c>
      <c r="Q143">
        <f t="shared" si="92"/>
        <v>219.40611048575119</v>
      </c>
      <c r="R143">
        <f t="shared" si="93"/>
        <v>-204.5995080187495</v>
      </c>
      <c r="S143">
        <f t="shared" si="86"/>
        <v>71.406110485751185</v>
      </c>
      <c r="T143">
        <f t="shared" si="87"/>
        <v>-204.5995080187495</v>
      </c>
      <c r="V143">
        <f t="shared" si="94"/>
        <v>219.40611048575119</v>
      </c>
      <c r="W143">
        <f t="shared" si="95"/>
        <v>-204.5995080187495</v>
      </c>
      <c r="X143">
        <f t="shared" si="96"/>
        <v>71.406110485751185</v>
      </c>
      <c r="Y143">
        <f t="shared" si="97"/>
        <v>-204.5995080187495</v>
      </c>
      <c r="AA143">
        <v>133</v>
      </c>
      <c r="AB143">
        <f t="shared" si="98"/>
        <v>-306.89926202812427</v>
      </c>
      <c r="AC143">
        <f t="shared" si="99"/>
        <v>329.10916572862675</v>
      </c>
      <c r="AD143">
        <v>133</v>
      </c>
      <c r="AE143">
        <f t="shared" si="100"/>
        <v>-443.29893404062392</v>
      </c>
      <c r="AF143">
        <f t="shared" si="101"/>
        <v>475.37990605246085</v>
      </c>
      <c r="AV143">
        <v>133</v>
      </c>
      <c r="AW143">
        <f t="shared" si="102"/>
        <v>-477.39885204374883</v>
      </c>
      <c r="AX143">
        <f t="shared" si="103"/>
        <v>511.94759113341939</v>
      </c>
      <c r="AZ143">
        <f t="shared" si="85"/>
        <v>494.97474683058329</v>
      </c>
      <c r="BA143">
        <f t="shared" si="104"/>
        <v>494.97474683058323</v>
      </c>
    </row>
    <row r="144" spans="9:53" x14ac:dyDescent="0.25">
      <c r="I144">
        <v>134</v>
      </c>
      <c r="J144">
        <f t="shared" si="88"/>
        <v>-347.32918522949853</v>
      </c>
      <c r="K144">
        <f t="shared" si="89"/>
        <v>359.66990016932573</v>
      </c>
      <c r="M144">
        <v>134</v>
      </c>
      <c r="N144">
        <f t="shared" si="90"/>
        <v>-399.42856301392328</v>
      </c>
      <c r="O144">
        <f t="shared" si="91"/>
        <v>413.62038519472458</v>
      </c>
      <c r="Q144">
        <f t="shared" si="92"/>
        <v>215.80194010159542</v>
      </c>
      <c r="R144">
        <f t="shared" si="93"/>
        <v>-208.3975111376991</v>
      </c>
      <c r="S144">
        <f t="shared" si="86"/>
        <v>67.80194010159542</v>
      </c>
      <c r="T144">
        <f t="shared" si="87"/>
        <v>-208.3975111376991</v>
      </c>
      <c r="V144">
        <f t="shared" si="94"/>
        <v>215.80194010159542</v>
      </c>
      <c r="W144">
        <f t="shared" si="95"/>
        <v>-208.3975111376991</v>
      </c>
      <c r="X144">
        <f t="shared" si="96"/>
        <v>67.80194010159542</v>
      </c>
      <c r="Y144">
        <f t="shared" si="97"/>
        <v>-208.3975111376991</v>
      </c>
      <c r="AA144">
        <v>134</v>
      </c>
      <c r="AB144">
        <f t="shared" si="98"/>
        <v>-312.59626670654865</v>
      </c>
      <c r="AC144">
        <f t="shared" si="99"/>
        <v>323.70291015239314</v>
      </c>
      <c r="AD144">
        <v>134</v>
      </c>
      <c r="AE144">
        <f t="shared" si="100"/>
        <v>-451.52794079834808</v>
      </c>
      <c r="AF144">
        <f t="shared" si="101"/>
        <v>467.57087022012342</v>
      </c>
      <c r="AV144">
        <v>134</v>
      </c>
      <c r="AW144">
        <f t="shared" si="102"/>
        <v>-486.26085932129791</v>
      </c>
      <c r="AX144">
        <f t="shared" si="103"/>
        <v>503.53786023705601</v>
      </c>
      <c r="AZ144">
        <f t="shared" si="85"/>
        <v>494.97474683058329</v>
      </c>
      <c r="BA144">
        <f t="shared" si="104"/>
        <v>494.97474683058323</v>
      </c>
    </row>
    <row r="145" spans="9:53" x14ac:dyDescent="0.25">
      <c r="I145">
        <v>135</v>
      </c>
      <c r="J145">
        <f t="shared" si="88"/>
        <v>-353.55339059327372</v>
      </c>
      <c r="K145">
        <f t="shared" si="89"/>
        <v>353.55339059327378</v>
      </c>
      <c r="M145">
        <v>135</v>
      </c>
      <c r="N145">
        <f t="shared" si="90"/>
        <v>-406.58639918226481</v>
      </c>
      <c r="O145">
        <f t="shared" si="91"/>
        <v>406.58639918226487</v>
      </c>
      <c r="Q145">
        <f t="shared" si="92"/>
        <v>212.13203435596427</v>
      </c>
      <c r="R145">
        <f t="shared" si="93"/>
        <v>-212.13203435596424</v>
      </c>
      <c r="S145">
        <f t="shared" si="86"/>
        <v>64.132034355964265</v>
      </c>
      <c r="T145">
        <f t="shared" si="87"/>
        <v>-212.13203435596424</v>
      </c>
      <c r="V145">
        <f t="shared" si="94"/>
        <v>212.13203435596427</v>
      </c>
      <c r="W145">
        <f t="shared" si="95"/>
        <v>-212.13203435596424</v>
      </c>
      <c r="X145">
        <f t="shared" si="96"/>
        <v>64.132034355964265</v>
      </c>
      <c r="Y145">
        <f t="shared" si="97"/>
        <v>-212.13203435596424</v>
      </c>
      <c r="AA145">
        <v>135</v>
      </c>
      <c r="AB145">
        <f t="shared" si="98"/>
        <v>-318.19805153394634</v>
      </c>
      <c r="AC145">
        <f t="shared" si="99"/>
        <v>318.1980515339464</v>
      </c>
      <c r="AD145">
        <v>135</v>
      </c>
      <c r="AE145">
        <f t="shared" si="100"/>
        <v>-459.61940777125585</v>
      </c>
      <c r="AF145">
        <f t="shared" si="101"/>
        <v>459.61940777125591</v>
      </c>
      <c r="AV145">
        <v>135</v>
      </c>
      <c r="AW145">
        <f t="shared" si="102"/>
        <v>-494.97474683058323</v>
      </c>
      <c r="AX145">
        <f t="shared" si="103"/>
        <v>494.97474683058329</v>
      </c>
      <c r="AZ145">
        <f t="shared" ref="AZ145:AZ188" si="105">IF(AV145&lt;$BE$7,AW145,VLOOKUP($BE$7,$AV$11:$AX$370,2,0))</f>
        <v>494.97474683058329</v>
      </c>
      <c r="BA145">
        <f t="shared" si="104"/>
        <v>494.97474683058323</v>
      </c>
    </row>
    <row r="146" spans="9:53" x14ac:dyDescent="0.25">
      <c r="I146">
        <v>136</v>
      </c>
      <c r="J146">
        <f t="shared" si="88"/>
        <v>-359.66990016932562</v>
      </c>
      <c r="K146">
        <f t="shared" si="89"/>
        <v>347.32918522949859</v>
      </c>
      <c r="M146">
        <v>136</v>
      </c>
      <c r="N146">
        <f t="shared" si="90"/>
        <v>-413.62038519472446</v>
      </c>
      <c r="O146">
        <f t="shared" si="91"/>
        <v>399.42856301392334</v>
      </c>
      <c r="Q146">
        <f t="shared" si="92"/>
        <v>208.39751113769915</v>
      </c>
      <c r="R146">
        <f t="shared" si="93"/>
        <v>-215.80194010159536</v>
      </c>
      <c r="S146">
        <f t="shared" si="86"/>
        <v>60.397511137699155</v>
      </c>
      <c r="T146">
        <f t="shared" si="87"/>
        <v>-215.80194010159536</v>
      </c>
      <c r="V146">
        <f t="shared" si="94"/>
        <v>208.39751113769915</v>
      </c>
      <c r="W146">
        <f t="shared" si="95"/>
        <v>-215.80194010159536</v>
      </c>
      <c r="X146">
        <f t="shared" si="96"/>
        <v>60.397511137699155</v>
      </c>
      <c r="Y146">
        <f t="shared" si="97"/>
        <v>-215.80194010159536</v>
      </c>
      <c r="AA146">
        <v>136</v>
      </c>
      <c r="AB146">
        <f t="shared" si="98"/>
        <v>-323.70291015239303</v>
      </c>
      <c r="AC146">
        <f t="shared" si="99"/>
        <v>312.5962667065487</v>
      </c>
      <c r="AD146">
        <v>136</v>
      </c>
      <c r="AE146">
        <f t="shared" si="100"/>
        <v>-467.57087022012325</v>
      </c>
      <c r="AF146">
        <f t="shared" si="101"/>
        <v>451.52794079834814</v>
      </c>
      <c r="AV146">
        <v>136</v>
      </c>
      <c r="AW146">
        <f t="shared" si="102"/>
        <v>-503.53786023705584</v>
      </c>
      <c r="AX146">
        <f t="shared" si="103"/>
        <v>486.26085932129803</v>
      </c>
      <c r="AZ146">
        <f t="shared" si="105"/>
        <v>494.97474683058329</v>
      </c>
      <c r="BA146">
        <f t="shared" si="104"/>
        <v>494.97474683058323</v>
      </c>
    </row>
    <row r="147" spans="9:53" x14ac:dyDescent="0.25">
      <c r="I147">
        <v>137</v>
      </c>
      <c r="J147">
        <f t="shared" si="88"/>
        <v>-365.67685080958523</v>
      </c>
      <c r="K147">
        <f t="shared" si="89"/>
        <v>340.9991800312493</v>
      </c>
      <c r="M147">
        <v>137</v>
      </c>
      <c r="N147">
        <f t="shared" si="90"/>
        <v>-420.52837843102299</v>
      </c>
      <c r="O147">
        <f t="shared" si="91"/>
        <v>392.14905703593666</v>
      </c>
      <c r="Q147">
        <f t="shared" si="92"/>
        <v>204.59950801874959</v>
      </c>
      <c r="R147">
        <f t="shared" si="93"/>
        <v>-219.40611048575113</v>
      </c>
      <c r="S147">
        <f t="shared" si="86"/>
        <v>56.599508018749589</v>
      </c>
      <c r="T147">
        <f t="shared" si="87"/>
        <v>-219.40611048575113</v>
      </c>
      <c r="V147">
        <f t="shared" si="94"/>
        <v>204.59950801874959</v>
      </c>
      <c r="W147">
        <f t="shared" si="95"/>
        <v>-219.40611048575113</v>
      </c>
      <c r="X147">
        <f t="shared" si="96"/>
        <v>56.599508018749589</v>
      </c>
      <c r="Y147">
        <f t="shared" si="97"/>
        <v>-219.40611048575113</v>
      </c>
      <c r="AA147">
        <v>137</v>
      </c>
      <c r="AB147">
        <f t="shared" si="98"/>
        <v>-329.10916572862669</v>
      </c>
      <c r="AC147">
        <f t="shared" si="99"/>
        <v>306.89926202812438</v>
      </c>
      <c r="AD147">
        <v>137</v>
      </c>
      <c r="AE147">
        <f t="shared" si="100"/>
        <v>-475.3799060524608</v>
      </c>
      <c r="AF147">
        <f t="shared" si="101"/>
        <v>443.29893404062409</v>
      </c>
      <c r="AV147">
        <v>137</v>
      </c>
      <c r="AW147">
        <f t="shared" si="102"/>
        <v>-511.94759113341934</v>
      </c>
      <c r="AX147">
        <f t="shared" si="103"/>
        <v>477.398852043749</v>
      </c>
      <c r="AZ147">
        <f t="shared" si="105"/>
        <v>494.97474683058329</v>
      </c>
      <c r="BA147">
        <f t="shared" si="104"/>
        <v>494.97474683058323</v>
      </c>
    </row>
    <row r="148" spans="9:53" x14ac:dyDescent="0.25">
      <c r="I148">
        <v>138</v>
      </c>
      <c r="J148">
        <f t="shared" si="88"/>
        <v>-371.57241273869704</v>
      </c>
      <c r="K148">
        <f t="shared" si="89"/>
        <v>334.56530317942918</v>
      </c>
      <c r="M148">
        <v>138</v>
      </c>
      <c r="N148">
        <f t="shared" si="90"/>
        <v>-427.30827464950158</v>
      </c>
      <c r="O148">
        <f t="shared" si="91"/>
        <v>384.75009865634354</v>
      </c>
      <c r="Q148">
        <f t="shared" si="92"/>
        <v>200.7391819076575</v>
      </c>
      <c r="R148">
        <f t="shared" si="93"/>
        <v>-222.94344764321821</v>
      </c>
      <c r="S148">
        <f t="shared" si="86"/>
        <v>52.739181907657496</v>
      </c>
      <c r="T148">
        <f t="shared" si="87"/>
        <v>-222.94344764321821</v>
      </c>
      <c r="V148">
        <f t="shared" si="94"/>
        <v>200.7391819076575</v>
      </c>
      <c r="W148">
        <f t="shared" si="95"/>
        <v>-222.94344764321821</v>
      </c>
      <c r="X148">
        <f t="shared" si="96"/>
        <v>52.739181907657496</v>
      </c>
      <c r="Y148">
        <f t="shared" si="97"/>
        <v>-222.94344764321821</v>
      </c>
      <c r="AA148">
        <v>138</v>
      </c>
      <c r="AB148">
        <f t="shared" si="98"/>
        <v>-334.41517146482732</v>
      </c>
      <c r="AC148">
        <f t="shared" si="99"/>
        <v>301.10877286148627</v>
      </c>
      <c r="AD148">
        <v>138</v>
      </c>
      <c r="AE148">
        <f t="shared" si="100"/>
        <v>-483.04413656030613</v>
      </c>
      <c r="AF148">
        <f t="shared" si="101"/>
        <v>434.9348941332579</v>
      </c>
      <c r="AV148">
        <v>138</v>
      </c>
      <c r="AW148">
        <f t="shared" si="102"/>
        <v>-520.20137783417579</v>
      </c>
      <c r="AX148">
        <f t="shared" si="103"/>
        <v>468.39142445120086</v>
      </c>
      <c r="AZ148">
        <f t="shared" si="105"/>
        <v>494.97474683058329</v>
      </c>
      <c r="BA148">
        <f t="shared" si="104"/>
        <v>494.97474683058323</v>
      </c>
    </row>
    <row r="149" spans="9:53" x14ac:dyDescent="0.25">
      <c r="I149">
        <v>139</v>
      </c>
      <c r="J149">
        <f t="shared" si="88"/>
        <v>-377.35479011138602</v>
      </c>
      <c r="K149">
        <f t="shared" si="89"/>
        <v>328.02951449525364</v>
      </c>
      <c r="M149">
        <v>139</v>
      </c>
      <c r="N149">
        <f t="shared" si="90"/>
        <v>-433.95800862809392</v>
      </c>
      <c r="O149">
        <f t="shared" si="91"/>
        <v>377.23394166954171</v>
      </c>
      <c r="Q149">
        <f t="shared" si="92"/>
        <v>196.81770869715217</v>
      </c>
      <c r="R149">
        <f t="shared" si="93"/>
        <v>-226.41287406683159</v>
      </c>
      <c r="S149">
        <f t="shared" si="86"/>
        <v>48.81770869715217</v>
      </c>
      <c r="T149">
        <f t="shared" si="87"/>
        <v>-226.41287406683159</v>
      </c>
      <c r="V149">
        <f t="shared" si="94"/>
        <v>196.81770869715217</v>
      </c>
      <c r="W149">
        <f t="shared" si="95"/>
        <v>-226.41287406683159</v>
      </c>
      <c r="X149">
        <f t="shared" si="96"/>
        <v>48.81770869715217</v>
      </c>
      <c r="Y149">
        <f t="shared" si="97"/>
        <v>-226.41287406683159</v>
      </c>
      <c r="AA149">
        <v>139</v>
      </c>
      <c r="AB149">
        <f t="shared" si="98"/>
        <v>-339.61931110024739</v>
      </c>
      <c r="AC149">
        <f t="shared" si="99"/>
        <v>295.22656304572826</v>
      </c>
      <c r="AD149">
        <v>139</v>
      </c>
      <c r="AE149">
        <f t="shared" si="100"/>
        <v>-490.56122714480182</v>
      </c>
      <c r="AF149">
        <f t="shared" si="101"/>
        <v>426.43836884382972</v>
      </c>
      <c r="AV149">
        <v>139</v>
      </c>
      <c r="AW149">
        <f t="shared" si="102"/>
        <v>-528.29670615594046</v>
      </c>
      <c r="AX149">
        <f t="shared" si="103"/>
        <v>459.2413202933551</v>
      </c>
      <c r="AZ149">
        <f t="shared" si="105"/>
        <v>494.97474683058329</v>
      </c>
      <c r="BA149">
        <f t="shared" si="104"/>
        <v>494.97474683058323</v>
      </c>
    </row>
    <row r="150" spans="9:53" x14ac:dyDescent="0.25">
      <c r="I150">
        <v>140</v>
      </c>
      <c r="J150">
        <f t="shared" si="88"/>
        <v>-383.02222155948897</v>
      </c>
      <c r="K150">
        <f t="shared" si="89"/>
        <v>321.39380484326972</v>
      </c>
      <c r="M150">
        <v>140</v>
      </c>
      <c r="N150">
        <f t="shared" si="90"/>
        <v>-440.4755547934123</v>
      </c>
      <c r="O150">
        <f t="shared" si="91"/>
        <v>369.60287556976022</v>
      </c>
      <c r="Q150">
        <f t="shared" si="92"/>
        <v>192.83628290596184</v>
      </c>
      <c r="R150">
        <f t="shared" si="93"/>
        <v>-229.81333293569338</v>
      </c>
      <c r="S150">
        <f t="shared" si="86"/>
        <v>44.836282905961838</v>
      </c>
      <c r="T150">
        <f t="shared" si="87"/>
        <v>-229.81333293569338</v>
      </c>
      <c r="V150">
        <f t="shared" si="94"/>
        <v>192.83628290596184</v>
      </c>
      <c r="W150">
        <f t="shared" si="95"/>
        <v>-229.81333293569338</v>
      </c>
      <c r="X150">
        <f t="shared" si="96"/>
        <v>44.836282905961838</v>
      </c>
      <c r="Y150">
        <f t="shared" si="97"/>
        <v>-229.81333293569338</v>
      </c>
      <c r="AA150">
        <v>140</v>
      </c>
      <c r="AB150">
        <f t="shared" si="98"/>
        <v>-344.71999940354004</v>
      </c>
      <c r="AC150">
        <f t="shared" si="99"/>
        <v>289.25442435894274</v>
      </c>
      <c r="AD150">
        <v>140</v>
      </c>
      <c r="AE150">
        <f t="shared" si="100"/>
        <v>-497.92888802733563</v>
      </c>
      <c r="AF150">
        <f t="shared" si="101"/>
        <v>417.81194629625065</v>
      </c>
      <c r="AV150">
        <v>140</v>
      </c>
      <c r="AW150">
        <f t="shared" si="102"/>
        <v>-536.2311101832845</v>
      </c>
      <c r="AX150">
        <f t="shared" si="103"/>
        <v>449.95132678057763</v>
      </c>
      <c r="AZ150">
        <f t="shared" si="105"/>
        <v>494.97474683058329</v>
      </c>
      <c r="BA150">
        <f t="shared" si="104"/>
        <v>494.97474683058323</v>
      </c>
    </row>
    <row r="151" spans="9:53" x14ac:dyDescent="0.25">
      <c r="I151">
        <v>141</v>
      </c>
      <c r="J151">
        <f t="shared" si="88"/>
        <v>-388.57298072848533</v>
      </c>
      <c r="K151">
        <f t="shared" si="89"/>
        <v>314.66019552491889</v>
      </c>
      <c r="M151">
        <v>141</v>
      </c>
      <c r="N151">
        <f t="shared" si="90"/>
        <v>-446.85892783775813</v>
      </c>
      <c r="O151">
        <f t="shared" si="91"/>
        <v>361.85922485365671</v>
      </c>
      <c r="Q151">
        <f t="shared" si="92"/>
        <v>188.79611731495132</v>
      </c>
      <c r="R151">
        <f t="shared" si="93"/>
        <v>-233.14378843709122</v>
      </c>
      <c r="S151">
        <f t="shared" si="86"/>
        <v>40.796117314951317</v>
      </c>
      <c r="T151">
        <f t="shared" si="87"/>
        <v>-233.14378843709122</v>
      </c>
      <c r="V151">
        <f t="shared" si="94"/>
        <v>188.79611731495132</v>
      </c>
      <c r="W151">
        <f t="shared" si="95"/>
        <v>-233.14378843709122</v>
      </c>
      <c r="X151">
        <f t="shared" si="96"/>
        <v>40.796117314951317</v>
      </c>
      <c r="Y151">
        <f t="shared" si="97"/>
        <v>-233.14378843709122</v>
      </c>
      <c r="AA151">
        <v>141</v>
      </c>
      <c r="AB151">
        <f t="shared" si="98"/>
        <v>-349.71568265563678</v>
      </c>
      <c r="AC151">
        <f t="shared" si="99"/>
        <v>283.19417597242699</v>
      </c>
      <c r="AD151">
        <v>141</v>
      </c>
      <c r="AE151">
        <f t="shared" si="100"/>
        <v>-505.14487494703093</v>
      </c>
      <c r="AF151">
        <f t="shared" si="101"/>
        <v>409.05825418239453</v>
      </c>
      <c r="AV151">
        <v>141</v>
      </c>
      <c r="AW151">
        <f t="shared" si="102"/>
        <v>-544.00217301987948</v>
      </c>
      <c r="AX151">
        <f t="shared" si="103"/>
        <v>440.52427373488638</v>
      </c>
      <c r="AZ151">
        <f t="shared" si="105"/>
        <v>494.97474683058329</v>
      </c>
      <c r="BA151">
        <f t="shared" si="104"/>
        <v>494.97474683058323</v>
      </c>
    </row>
    <row r="152" spans="9:53" x14ac:dyDescent="0.25">
      <c r="I152">
        <v>142</v>
      </c>
      <c r="J152">
        <f t="shared" si="88"/>
        <v>-394.00537680336095</v>
      </c>
      <c r="K152">
        <f t="shared" si="89"/>
        <v>307.83073766282922</v>
      </c>
      <c r="M152">
        <v>142</v>
      </c>
      <c r="N152">
        <f t="shared" si="90"/>
        <v>-453.10618332386508</v>
      </c>
      <c r="O152">
        <f t="shared" si="91"/>
        <v>354.0053483122536</v>
      </c>
      <c r="Q152">
        <f t="shared" si="92"/>
        <v>184.69844259769752</v>
      </c>
      <c r="R152">
        <f t="shared" si="93"/>
        <v>-236.40322608201657</v>
      </c>
      <c r="S152">
        <f t="shared" si="86"/>
        <v>36.698442597697522</v>
      </c>
      <c r="T152">
        <f t="shared" si="87"/>
        <v>-236.40322608201657</v>
      </c>
      <c r="V152">
        <f t="shared" si="94"/>
        <v>184.69844259769752</v>
      </c>
      <c r="W152">
        <f t="shared" si="95"/>
        <v>-236.40322608201657</v>
      </c>
      <c r="X152">
        <f t="shared" si="96"/>
        <v>36.698442597697522</v>
      </c>
      <c r="Y152">
        <f t="shared" si="97"/>
        <v>-236.40322608201657</v>
      </c>
      <c r="AA152">
        <v>142</v>
      </c>
      <c r="AB152">
        <f t="shared" si="98"/>
        <v>-354.60483912302487</v>
      </c>
      <c r="AC152">
        <f t="shared" si="99"/>
        <v>277.04766389654628</v>
      </c>
      <c r="AD152">
        <v>142</v>
      </c>
      <c r="AE152">
        <f t="shared" si="100"/>
        <v>-512.20698984436922</v>
      </c>
      <c r="AF152">
        <f t="shared" si="101"/>
        <v>400.17995896167798</v>
      </c>
      <c r="AV152">
        <v>142</v>
      </c>
      <c r="AW152">
        <f t="shared" si="102"/>
        <v>-551.60752752470535</v>
      </c>
      <c r="AX152">
        <f t="shared" si="103"/>
        <v>430.96303272796087</v>
      </c>
      <c r="AZ152">
        <f t="shared" si="105"/>
        <v>494.97474683058329</v>
      </c>
      <c r="BA152">
        <f t="shared" si="104"/>
        <v>494.97474683058323</v>
      </c>
    </row>
    <row r="153" spans="9:53" x14ac:dyDescent="0.25">
      <c r="I153">
        <v>143</v>
      </c>
      <c r="J153">
        <f t="shared" si="88"/>
        <v>-399.3177550236465</v>
      </c>
      <c r="K153">
        <f t="shared" si="89"/>
        <v>300.90751157602409</v>
      </c>
      <c r="M153">
        <v>143</v>
      </c>
      <c r="N153">
        <f t="shared" si="90"/>
        <v>-459.21541827719346</v>
      </c>
      <c r="O153">
        <f t="shared" si="91"/>
        <v>346.04363831242767</v>
      </c>
      <c r="Q153">
        <f t="shared" si="92"/>
        <v>180.54450694561444</v>
      </c>
      <c r="R153">
        <f t="shared" si="93"/>
        <v>-239.59065301418789</v>
      </c>
      <c r="S153">
        <f t="shared" si="86"/>
        <v>32.544506945614444</v>
      </c>
      <c r="T153">
        <f t="shared" si="87"/>
        <v>-239.59065301418789</v>
      </c>
      <c r="V153">
        <f t="shared" si="94"/>
        <v>180.54450694561444</v>
      </c>
      <c r="W153">
        <f t="shared" si="95"/>
        <v>-239.59065301418789</v>
      </c>
      <c r="X153">
        <f t="shared" si="96"/>
        <v>32.544506945614444</v>
      </c>
      <c r="Y153">
        <f t="shared" si="97"/>
        <v>-239.59065301418789</v>
      </c>
      <c r="AA153">
        <v>143</v>
      </c>
      <c r="AB153">
        <f t="shared" si="98"/>
        <v>-359.3859795212818</v>
      </c>
      <c r="AC153">
        <f t="shared" si="99"/>
        <v>270.81676041842167</v>
      </c>
      <c r="AD153">
        <v>143</v>
      </c>
      <c r="AE153">
        <f t="shared" si="100"/>
        <v>-519.11308153074037</v>
      </c>
      <c r="AF153">
        <f t="shared" si="101"/>
        <v>391.17976504883131</v>
      </c>
      <c r="AV153">
        <v>143</v>
      </c>
      <c r="AW153">
        <f t="shared" si="102"/>
        <v>-559.04485703310502</v>
      </c>
      <c r="AX153">
        <f t="shared" si="103"/>
        <v>421.27051620643368</v>
      </c>
      <c r="AZ153">
        <f t="shared" si="105"/>
        <v>494.97474683058329</v>
      </c>
      <c r="BA153">
        <f t="shared" si="104"/>
        <v>494.97474683058323</v>
      </c>
    </row>
    <row r="154" spans="9:53" x14ac:dyDescent="0.25">
      <c r="I154">
        <v>144</v>
      </c>
      <c r="J154">
        <f t="shared" si="88"/>
        <v>-404.50849718747367</v>
      </c>
      <c r="K154">
        <f t="shared" si="89"/>
        <v>293.89262614623664</v>
      </c>
      <c r="M154">
        <v>144</v>
      </c>
      <c r="N154">
        <f t="shared" si="90"/>
        <v>-465.18477176559475</v>
      </c>
      <c r="O154">
        <f t="shared" si="91"/>
        <v>337.97652006817214</v>
      </c>
      <c r="Q154">
        <f t="shared" si="92"/>
        <v>176.33557568774197</v>
      </c>
      <c r="R154">
        <f t="shared" si="93"/>
        <v>-242.70509831248421</v>
      </c>
      <c r="S154">
        <f t="shared" si="86"/>
        <v>28.335575687741965</v>
      </c>
      <c r="T154">
        <f t="shared" si="87"/>
        <v>-242.70509831248421</v>
      </c>
      <c r="V154">
        <f t="shared" si="94"/>
        <v>176.33557568774197</v>
      </c>
      <c r="W154">
        <f t="shared" si="95"/>
        <v>-242.70509831248421</v>
      </c>
      <c r="X154">
        <f t="shared" si="96"/>
        <v>28.335575687741965</v>
      </c>
      <c r="Y154">
        <f t="shared" si="97"/>
        <v>-242.70509831248421</v>
      </c>
      <c r="AA154">
        <v>144</v>
      </c>
      <c r="AB154">
        <f t="shared" si="98"/>
        <v>-364.05764746872632</v>
      </c>
      <c r="AC154">
        <f t="shared" si="99"/>
        <v>264.50336353161293</v>
      </c>
      <c r="AD154">
        <v>144</v>
      </c>
      <c r="AE154">
        <f t="shared" si="100"/>
        <v>-525.86104634371577</v>
      </c>
      <c r="AF154">
        <f t="shared" si="101"/>
        <v>382.06041399010763</v>
      </c>
      <c r="AV154">
        <v>144</v>
      </c>
      <c r="AW154">
        <f t="shared" si="102"/>
        <v>-566.31189606246312</v>
      </c>
      <c r="AX154">
        <f t="shared" si="103"/>
        <v>411.44967660473128</v>
      </c>
      <c r="AZ154">
        <f t="shared" si="105"/>
        <v>494.97474683058329</v>
      </c>
      <c r="BA154">
        <f t="shared" si="104"/>
        <v>494.97474683058323</v>
      </c>
    </row>
    <row r="155" spans="9:53" x14ac:dyDescent="0.25">
      <c r="I155">
        <v>145</v>
      </c>
      <c r="J155">
        <f t="shared" si="88"/>
        <v>-409.57602214449577</v>
      </c>
      <c r="K155">
        <f t="shared" si="89"/>
        <v>286.78821817552318</v>
      </c>
      <c r="M155">
        <v>145</v>
      </c>
      <c r="N155">
        <f t="shared" si="90"/>
        <v>-471.01242546617016</v>
      </c>
      <c r="O155">
        <f t="shared" si="91"/>
        <v>329.80645090185169</v>
      </c>
      <c r="Q155">
        <f t="shared" si="92"/>
        <v>172.07293090531391</v>
      </c>
      <c r="R155">
        <f t="shared" si="93"/>
        <v>-245.74561328669748</v>
      </c>
      <c r="S155">
        <f t="shared" si="86"/>
        <v>24.07293090531391</v>
      </c>
      <c r="T155">
        <f t="shared" si="87"/>
        <v>-245.74561328669748</v>
      </c>
      <c r="V155">
        <f t="shared" si="94"/>
        <v>172.07293090531391</v>
      </c>
      <c r="W155">
        <f t="shared" si="95"/>
        <v>-245.74561328669748</v>
      </c>
      <c r="X155">
        <f t="shared" si="96"/>
        <v>24.07293090531391</v>
      </c>
      <c r="Y155">
        <f t="shared" si="97"/>
        <v>-245.74561328669748</v>
      </c>
      <c r="AA155">
        <v>145</v>
      </c>
      <c r="AB155">
        <f t="shared" si="98"/>
        <v>-368.61841993004623</v>
      </c>
      <c r="AC155">
        <f t="shared" si="99"/>
        <v>258.10939635797087</v>
      </c>
      <c r="AD155">
        <v>145</v>
      </c>
      <c r="AE155">
        <f t="shared" si="100"/>
        <v>-532.44882878784449</v>
      </c>
      <c r="AF155">
        <f t="shared" si="101"/>
        <v>372.82468362818014</v>
      </c>
      <c r="AV155">
        <v>145</v>
      </c>
      <c r="AW155">
        <f t="shared" si="102"/>
        <v>-573.40643100229408</v>
      </c>
      <c r="AX155">
        <f t="shared" si="103"/>
        <v>401.50350544573246</v>
      </c>
      <c r="AZ155">
        <f t="shared" si="105"/>
        <v>494.97474683058329</v>
      </c>
      <c r="BA155">
        <f t="shared" si="104"/>
        <v>494.97474683058323</v>
      </c>
    </row>
    <row r="156" spans="9:53" x14ac:dyDescent="0.25">
      <c r="I156">
        <v>146</v>
      </c>
      <c r="J156">
        <f t="shared" si="88"/>
        <v>-414.5187862775208</v>
      </c>
      <c r="K156">
        <f t="shared" si="89"/>
        <v>279.59645173537348</v>
      </c>
      <c r="M156">
        <v>146</v>
      </c>
      <c r="N156">
        <f t="shared" si="90"/>
        <v>-476.69660421914892</v>
      </c>
      <c r="O156">
        <f t="shared" si="91"/>
        <v>321.53591949567948</v>
      </c>
      <c r="Q156">
        <f t="shared" si="92"/>
        <v>167.75787104122406</v>
      </c>
      <c r="R156">
        <f t="shared" si="93"/>
        <v>-248.71127176651248</v>
      </c>
      <c r="S156">
        <f t="shared" si="86"/>
        <v>19.757871041224064</v>
      </c>
      <c r="T156">
        <f t="shared" si="87"/>
        <v>-248.71127176651248</v>
      </c>
      <c r="V156">
        <f t="shared" si="94"/>
        <v>167.75787104122406</v>
      </c>
      <c r="W156">
        <f t="shared" si="95"/>
        <v>-248.71127176651248</v>
      </c>
      <c r="X156">
        <f t="shared" si="96"/>
        <v>19.757871041224064</v>
      </c>
      <c r="Y156">
        <f t="shared" si="97"/>
        <v>-248.71127176651248</v>
      </c>
      <c r="AA156">
        <v>146</v>
      </c>
      <c r="AB156">
        <f t="shared" si="98"/>
        <v>-373.06690764976872</v>
      </c>
      <c r="AC156">
        <f t="shared" si="99"/>
        <v>251.6368065618361</v>
      </c>
      <c r="AD156">
        <v>146</v>
      </c>
      <c r="AE156">
        <f t="shared" si="100"/>
        <v>-538.87442216077704</v>
      </c>
      <c r="AF156">
        <f t="shared" si="101"/>
        <v>363.47538725598548</v>
      </c>
      <c r="AV156">
        <v>146</v>
      </c>
      <c r="AW156">
        <f t="shared" si="102"/>
        <v>-580.32630078852912</v>
      </c>
      <c r="AX156">
        <f t="shared" si="103"/>
        <v>391.43503242952283</v>
      </c>
      <c r="AZ156">
        <f t="shared" si="105"/>
        <v>494.97474683058329</v>
      </c>
      <c r="BA156">
        <f t="shared" si="104"/>
        <v>494.97474683058323</v>
      </c>
    </row>
    <row r="157" spans="9:53" x14ac:dyDescent="0.25">
      <c r="I157">
        <v>147</v>
      </c>
      <c r="J157">
        <f t="shared" si="88"/>
        <v>-419.33528397271209</v>
      </c>
      <c r="K157">
        <f t="shared" si="89"/>
        <v>272.31951750751347</v>
      </c>
      <c r="M157">
        <v>147</v>
      </c>
      <c r="N157">
        <f t="shared" si="90"/>
        <v>-482.23557656861891</v>
      </c>
      <c r="O157">
        <f t="shared" si="91"/>
        <v>313.16744513364051</v>
      </c>
      <c r="Q157">
        <f t="shared" si="92"/>
        <v>163.3917105045081</v>
      </c>
      <c r="R157">
        <f t="shared" si="93"/>
        <v>-251.60117038362725</v>
      </c>
      <c r="S157">
        <f t="shared" si="86"/>
        <v>15.391710504508097</v>
      </c>
      <c r="T157">
        <f t="shared" si="87"/>
        <v>-251.60117038362725</v>
      </c>
      <c r="V157">
        <f t="shared" si="94"/>
        <v>163.3917105045081</v>
      </c>
      <c r="W157">
        <f t="shared" si="95"/>
        <v>-251.60117038362725</v>
      </c>
      <c r="X157">
        <f t="shared" si="96"/>
        <v>15.391710504508097</v>
      </c>
      <c r="Y157">
        <f t="shared" si="97"/>
        <v>-251.60117038362725</v>
      </c>
      <c r="AA157">
        <v>147</v>
      </c>
      <c r="AB157">
        <f t="shared" si="98"/>
        <v>-377.40175557544086</v>
      </c>
      <c r="AC157">
        <f t="shared" si="99"/>
        <v>245.08756575676213</v>
      </c>
      <c r="AD157">
        <v>147</v>
      </c>
      <c r="AE157">
        <f t="shared" si="100"/>
        <v>-545.13586916452573</v>
      </c>
      <c r="AF157">
        <f t="shared" si="101"/>
        <v>354.01537275976756</v>
      </c>
      <c r="AV157">
        <v>147</v>
      </c>
      <c r="AW157">
        <f t="shared" si="102"/>
        <v>-587.0693975617969</v>
      </c>
      <c r="AX157">
        <f t="shared" si="103"/>
        <v>381.24732451051887</v>
      </c>
      <c r="AZ157">
        <f t="shared" si="105"/>
        <v>494.97474683058329</v>
      </c>
      <c r="BA157">
        <f t="shared" si="104"/>
        <v>494.97474683058323</v>
      </c>
    </row>
    <row r="158" spans="9:53" x14ac:dyDescent="0.25">
      <c r="I158">
        <v>148</v>
      </c>
      <c r="J158">
        <f t="shared" si="88"/>
        <v>-424.02404807821296</v>
      </c>
      <c r="K158">
        <f t="shared" si="89"/>
        <v>264.95963211660245</v>
      </c>
      <c r="M158">
        <v>148</v>
      </c>
      <c r="N158">
        <f t="shared" si="90"/>
        <v>-487.62765528994493</v>
      </c>
      <c r="O158">
        <f t="shared" si="91"/>
        <v>304.70357693409284</v>
      </c>
      <c r="Q158">
        <f t="shared" si="92"/>
        <v>158.97577926996146</v>
      </c>
      <c r="R158">
        <f t="shared" si="93"/>
        <v>-254.41442884692779</v>
      </c>
      <c r="S158">
        <f t="shared" si="86"/>
        <v>10.975779269961464</v>
      </c>
      <c r="T158">
        <f t="shared" si="87"/>
        <v>-254.41442884692779</v>
      </c>
      <c r="V158">
        <f t="shared" si="94"/>
        <v>158.97577926996146</v>
      </c>
      <c r="W158">
        <f t="shared" si="95"/>
        <v>-254.41442884692779</v>
      </c>
      <c r="X158">
        <f t="shared" si="96"/>
        <v>10.975779269961464</v>
      </c>
      <c r="Y158">
        <f t="shared" si="97"/>
        <v>-254.41442884692779</v>
      </c>
      <c r="AA158">
        <v>148</v>
      </c>
      <c r="AB158">
        <f t="shared" si="98"/>
        <v>-381.6216432703917</v>
      </c>
      <c r="AC158">
        <f t="shared" si="99"/>
        <v>238.46366890494221</v>
      </c>
      <c r="AD158">
        <v>148</v>
      </c>
      <c r="AE158">
        <f t="shared" si="100"/>
        <v>-551.23126250167684</v>
      </c>
      <c r="AF158">
        <f t="shared" si="101"/>
        <v>344.44752175158317</v>
      </c>
      <c r="AV158">
        <v>148</v>
      </c>
      <c r="AW158">
        <f t="shared" si="102"/>
        <v>-593.63366730949815</v>
      </c>
      <c r="AX158">
        <f t="shared" si="103"/>
        <v>370.94348496324341</v>
      </c>
      <c r="AZ158">
        <f t="shared" si="105"/>
        <v>494.97474683058329</v>
      </c>
      <c r="BA158">
        <f t="shared" si="104"/>
        <v>494.97474683058323</v>
      </c>
    </row>
    <row r="159" spans="9:53" x14ac:dyDescent="0.25">
      <c r="I159">
        <v>149</v>
      </c>
      <c r="J159">
        <f t="shared" si="88"/>
        <v>-428.58365035105612</v>
      </c>
      <c r="K159">
        <f t="shared" si="89"/>
        <v>257.51903745502722</v>
      </c>
      <c r="M159">
        <v>149</v>
      </c>
      <c r="N159">
        <f t="shared" si="90"/>
        <v>-492.87119790371452</v>
      </c>
      <c r="O159">
        <f t="shared" si="91"/>
        <v>296.14689307328126</v>
      </c>
      <c r="Q159">
        <f t="shared" si="92"/>
        <v>154.51142247301632</v>
      </c>
      <c r="R159">
        <f t="shared" si="93"/>
        <v>-257.15019021063364</v>
      </c>
      <c r="S159">
        <f t="shared" si="86"/>
        <v>6.5114224730163244</v>
      </c>
      <c r="T159">
        <f t="shared" si="87"/>
        <v>-257.15019021063364</v>
      </c>
      <c r="V159">
        <f t="shared" si="94"/>
        <v>154.51142247301632</v>
      </c>
      <c r="W159">
        <f t="shared" si="95"/>
        <v>-257.15019021063364</v>
      </c>
      <c r="X159">
        <f t="shared" si="96"/>
        <v>6.5114224730163244</v>
      </c>
      <c r="Y159">
        <f t="shared" si="97"/>
        <v>-257.15019021063364</v>
      </c>
      <c r="AA159">
        <v>149</v>
      </c>
      <c r="AB159">
        <f t="shared" si="98"/>
        <v>-385.72528531595049</v>
      </c>
      <c r="AC159">
        <f t="shared" si="99"/>
        <v>231.76713370952447</v>
      </c>
      <c r="AD159">
        <v>149</v>
      </c>
      <c r="AE159">
        <f t="shared" si="100"/>
        <v>-557.15874545637291</v>
      </c>
      <c r="AF159">
        <f t="shared" si="101"/>
        <v>334.77474869153536</v>
      </c>
      <c r="AV159">
        <v>149</v>
      </c>
      <c r="AW159">
        <f t="shared" si="102"/>
        <v>-600.01711049147855</v>
      </c>
      <c r="AX159">
        <f t="shared" si="103"/>
        <v>360.52665243703808</v>
      </c>
      <c r="AZ159">
        <f t="shared" si="105"/>
        <v>494.97474683058329</v>
      </c>
      <c r="BA159">
        <f t="shared" si="104"/>
        <v>494.97474683058323</v>
      </c>
    </row>
    <row r="160" spans="9:53" x14ac:dyDescent="0.25">
      <c r="I160">
        <v>150</v>
      </c>
      <c r="J160">
        <f t="shared" si="88"/>
        <v>-433.01270189221935</v>
      </c>
      <c r="K160">
        <f t="shared" si="89"/>
        <v>249.99999999999997</v>
      </c>
      <c r="M160">
        <v>150</v>
      </c>
      <c r="N160">
        <f t="shared" si="90"/>
        <v>-497.96460717605225</v>
      </c>
      <c r="O160">
        <f t="shared" si="91"/>
        <v>287.49999999999994</v>
      </c>
      <c r="Q160">
        <f t="shared" si="92"/>
        <v>149.99999999999997</v>
      </c>
      <c r="R160">
        <f t="shared" si="93"/>
        <v>-259.8076211353316</v>
      </c>
      <c r="S160">
        <f t="shared" si="86"/>
        <v>1.9999999999999716</v>
      </c>
      <c r="T160">
        <f t="shared" si="87"/>
        <v>-259.8076211353316</v>
      </c>
      <c r="V160">
        <f t="shared" si="94"/>
        <v>149.99999999999997</v>
      </c>
      <c r="W160">
        <f t="shared" si="95"/>
        <v>-259.8076211353316</v>
      </c>
      <c r="X160">
        <f t="shared" si="96"/>
        <v>1.9999999999999716</v>
      </c>
      <c r="Y160">
        <f t="shared" si="97"/>
        <v>-259.8076211353316</v>
      </c>
      <c r="AA160">
        <v>150</v>
      </c>
      <c r="AB160">
        <f t="shared" si="98"/>
        <v>-389.7114317029974</v>
      </c>
      <c r="AC160">
        <f t="shared" si="99"/>
        <v>224.99999999999997</v>
      </c>
      <c r="AD160">
        <v>150</v>
      </c>
      <c r="AE160">
        <f t="shared" si="100"/>
        <v>-562.91651245988521</v>
      </c>
      <c r="AF160">
        <f t="shared" si="101"/>
        <v>324.99999999999994</v>
      </c>
      <c r="AV160">
        <v>150</v>
      </c>
      <c r="AW160">
        <f t="shared" si="102"/>
        <v>-606.21778264910711</v>
      </c>
      <c r="AX160">
        <f t="shared" si="103"/>
        <v>349.99999999999994</v>
      </c>
      <c r="AZ160">
        <f t="shared" si="105"/>
        <v>494.97474683058329</v>
      </c>
      <c r="BA160">
        <f t="shared" si="104"/>
        <v>494.97474683058323</v>
      </c>
    </row>
    <row r="161" spans="9:53" x14ac:dyDescent="0.25">
      <c r="I161">
        <v>151</v>
      </c>
      <c r="J161">
        <f t="shared" si="88"/>
        <v>-437.30985356969785</v>
      </c>
      <c r="K161">
        <f t="shared" si="89"/>
        <v>242.40481012316857</v>
      </c>
      <c r="M161">
        <v>151</v>
      </c>
      <c r="N161">
        <f t="shared" si="90"/>
        <v>-502.90633160515256</v>
      </c>
      <c r="O161">
        <f t="shared" si="91"/>
        <v>278.76553164164386</v>
      </c>
      <c r="Q161">
        <f t="shared" si="92"/>
        <v>145.44288607390115</v>
      </c>
      <c r="R161">
        <f t="shared" si="93"/>
        <v>-262.38591214181872</v>
      </c>
      <c r="S161">
        <f t="shared" si="86"/>
        <v>-2.5571139260988502</v>
      </c>
      <c r="T161">
        <f t="shared" si="87"/>
        <v>-262.38591214181872</v>
      </c>
      <c r="V161">
        <f t="shared" si="94"/>
        <v>145.44288607390115</v>
      </c>
      <c r="W161">
        <f t="shared" si="95"/>
        <v>-262.38591214181872</v>
      </c>
      <c r="X161">
        <f t="shared" si="96"/>
        <v>-2.5571139260988502</v>
      </c>
      <c r="Y161">
        <f t="shared" si="97"/>
        <v>-262.38591214181872</v>
      </c>
      <c r="AA161">
        <v>151</v>
      </c>
      <c r="AB161">
        <f t="shared" si="98"/>
        <v>-393.57886821272808</v>
      </c>
      <c r="AC161">
        <f t="shared" si="99"/>
        <v>218.16432911085172</v>
      </c>
      <c r="AD161">
        <v>151</v>
      </c>
      <c r="AE161">
        <f t="shared" si="100"/>
        <v>-568.50280964060721</v>
      </c>
      <c r="AF161">
        <f t="shared" si="101"/>
        <v>315.12625316011918</v>
      </c>
      <c r="AV161">
        <v>151</v>
      </c>
      <c r="AW161">
        <f t="shared" si="102"/>
        <v>-612.23379499757698</v>
      </c>
      <c r="AX161">
        <f t="shared" si="103"/>
        <v>339.366734172436</v>
      </c>
      <c r="AZ161">
        <f t="shared" si="105"/>
        <v>494.97474683058329</v>
      </c>
      <c r="BA161">
        <f t="shared" si="104"/>
        <v>494.97474683058323</v>
      </c>
    </row>
    <row r="162" spans="9:53" x14ac:dyDescent="0.25">
      <c r="I162">
        <v>152</v>
      </c>
      <c r="J162">
        <f t="shared" si="88"/>
        <v>-441.47379642946339</v>
      </c>
      <c r="K162">
        <f t="shared" si="89"/>
        <v>234.73578139294554</v>
      </c>
      <c r="M162">
        <v>152</v>
      </c>
      <c r="N162">
        <f t="shared" si="90"/>
        <v>-507.69486589388288</v>
      </c>
      <c r="O162">
        <f t="shared" si="91"/>
        <v>269.94614860188739</v>
      </c>
      <c r="Q162">
        <f t="shared" si="92"/>
        <v>140.84146883576733</v>
      </c>
      <c r="R162">
        <f t="shared" si="93"/>
        <v>-264.88427785767806</v>
      </c>
      <c r="S162">
        <f t="shared" si="86"/>
        <v>-7.1585311642326701</v>
      </c>
      <c r="T162">
        <f t="shared" si="87"/>
        <v>-264.88427785767806</v>
      </c>
      <c r="V162">
        <f t="shared" si="94"/>
        <v>140.84146883576733</v>
      </c>
      <c r="W162">
        <f t="shared" si="95"/>
        <v>-264.88427785767806</v>
      </c>
      <c r="X162">
        <f t="shared" si="96"/>
        <v>-7.1585311642326701</v>
      </c>
      <c r="Y162">
        <f t="shared" si="97"/>
        <v>-264.88427785767806</v>
      </c>
      <c r="AA162">
        <v>152</v>
      </c>
      <c r="AB162">
        <f t="shared" si="98"/>
        <v>-397.32641678651703</v>
      </c>
      <c r="AC162">
        <f t="shared" si="99"/>
        <v>211.26220325365099</v>
      </c>
      <c r="AD162">
        <v>152</v>
      </c>
      <c r="AE162">
        <f t="shared" si="100"/>
        <v>-573.91593535830236</v>
      </c>
      <c r="AF162">
        <f t="shared" si="101"/>
        <v>305.15651581082921</v>
      </c>
      <c r="AV162">
        <v>152</v>
      </c>
      <c r="AW162">
        <f t="shared" si="102"/>
        <v>-618.06331500124872</v>
      </c>
      <c r="AX162">
        <f t="shared" si="103"/>
        <v>328.63009395012375</v>
      </c>
      <c r="AZ162">
        <f t="shared" si="105"/>
        <v>494.97474683058329</v>
      </c>
      <c r="BA162">
        <f t="shared" si="104"/>
        <v>494.97474683058323</v>
      </c>
    </row>
    <row r="163" spans="9:53" x14ac:dyDescent="0.25">
      <c r="I163">
        <v>153</v>
      </c>
      <c r="J163">
        <f t="shared" si="88"/>
        <v>-445.50326209418387</v>
      </c>
      <c r="K163">
        <f t="shared" si="89"/>
        <v>226.99524986977343</v>
      </c>
      <c r="M163">
        <v>153</v>
      </c>
      <c r="N163">
        <f t="shared" si="90"/>
        <v>-512.32875140831152</v>
      </c>
      <c r="O163">
        <f t="shared" si="91"/>
        <v>261.04453735023947</v>
      </c>
      <c r="Q163">
        <f t="shared" si="92"/>
        <v>136.19714992186405</v>
      </c>
      <c r="R163">
        <f t="shared" si="93"/>
        <v>-267.30195725651032</v>
      </c>
      <c r="S163">
        <f t="shared" si="86"/>
        <v>-11.802850078135947</v>
      </c>
      <c r="T163">
        <f t="shared" si="87"/>
        <v>-267.30195725651032</v>
      </c>
      <c r="V163">
        <f t="shared" si="94"/>
        <v>136.19714992186405</v>
      </c>
      <c r="W163">
        <f t="shared" si="95"/>
        <v>-267.30195725651032</v>
      </c>
      <c r="X163">
        <f t="shared" si="96"/>
        <v>-11.802850078135947</v>
      </c>
      <c r="Y163">
        <f t="shared" si="97"/>
        <v>-267.30195725651032</v>
      </c>
      <c r="AA163">
        <v>153</v>
      </c>
      <c r="AB163">
        <f t="shared" si="98"/>
        <v>-400.95293588476551</v>
      </c>
      <c r="AC163">
        <f t="shared" si="99"/>
        <v>204.29572488279609</v>
      </c>
      <c r="AD163">
        <v>153</v>
      </c>
      <c r="AE163">
        <f t="shared" si="100"/>
        <v>-579.15424072243911</v>
      </c>
      <c r="AF163">
        <f t="shared" si="101"/>
        <v>295.09382483070544</v>
      </c>
      <c r="AV163">
        <v>153</v>
      </c>
      <c r="AW163">
        <f t="shared" si="102"/>
        <v>-623.70456693185747</v>
      </c>
      <c r="AX163">
        <f t="shared" si="103"/>
        <v>317.79334981768278</v>
      </c>
      <c r="AZ163">
        <f t="shared" si="105"/>
        <v>494.97474683058329</v>
      </c>
      <c r="BA163">
        <f t="shared" si="104"/>
        <v>494.97474683058323</v>
      </c>
    </row>
    <row r="164" spans="9:53" x14ac:dyDescent="0.25">
      <c r="I164">
        <v>154</v>
      </c>
      <c r="J164">
        <f t="shared" si="88"/>
        <v>-449.3970231495835</v>
      </c>
      <c r="K164">
        <f t="shared" si="89"/>
        <v>219.18557339453864</v>
      </c>
      <c r="M164">
        <v>154</v>
      </c>
      <c r="N164">
        <f t="shared" si="90"/>
        <v>-516.806576622021</v>
      </c>
      <c r="O164">
        <f t="shared" si="91"/>
        <v>252.06340940371945</v>
      </c>
      <c r="Q164">
        <f t="shared" si="92"/>
        <v>131.51134403672319</v>
      </c>
      <c r="R164">
        <f t="shared" si="93"/>
        <v>-269.63821388975009</v>
      </c>
      <c r="S164">
        <f t="shared" si="86"/>
        <v>-16.488655963276813</v>
      </c>
      <c r="T164">
        <f t="shared" si="87"/>
        <v>-269.63821388975009</v>
      </c>
      <c r="V164">
        <f t="shared" si="94"/>
        <v>131.51134403672319</v>
      </c>
      <c r="W164">
        <f t="shared" si="95"/>
        <v>-269.63821388975009</v>
      </c>
      <c r="X164">
        <f t="shared" si="96"/>
        <v>-16.488655963276813</v>
      </c>
      <c r="Y164">
        <f t="shared" si="97"/>
        <v>-269.63821388975009</v>
      </c>
      <c r="AA164">
        <v>154</v>
      </c>
      <c r="AB164">
        <f t="shared" si="98"/>
        <v>-404.45732083462519</v>
      </c>
      <c r="AC164">
        <f t="shared" si="99"/>
        <v>197.26701605508478</v>
      </c>
      <c r="AD164">
        <v>154</v>
      </c>
      <c r="AE164">
        <f t="shared" si="100"/>
        <v>-584.21613009445855</v>
      </c>
      <c r="AF164">
        <f t="shared" si="101"/>
        <v>284.94124541290023</v>
      </c>
      <c r="AV164">
        <v>154</v>
      </c>
      <c r="AW164">
        <f t="shared" si="102"/>
        <v>-629.15583240941692</v>
      </c>
      <c r="AX164">
        <f t="shared" si="103"/>
        <v>306.85980275235408</v>
      </c>
      <c r="AZ164">
        <f t="shared" si="105"/>
        <v>494.97474683058329</v>
      </c>
      <c r="BA164">
        <f t="shared" si="104"/>
        <v>494.97474683058323</v>
      </c>
    </row>
    <row r="165" spans="9:53" x14ac:dyDescent="0.25">
      <c r="I165">
        <v>155</v>
      </c>
      <c r="J165">
        <f t="shared" si="88"/>
        <v>-453.15389351832499</v>
      </c>
      <c r="K165">
        <f t="shared" si="89"/>
        <v>211.30913087034975</v>
      </c>
      <c r="M165">
        <v>155</v>
      </c>
      <c r="N165">
        <f t="shared" si="90"/>
        <v>-521.1269775460737</v>
      </c>
      <c r="O165">
        <f t="shared" si="91"/>
        <v>243.0055005009022</v>
      </c>
      <c r="Q165">
        <f t="shared" si="92"/>
        <v>126.78547852220984</v>
      </c>
      <c r="R165">
        <f t="shared" si="93"/>
        <v>-271.89233611099496</v>
      </c>
      <c r="S165">
        <f t="shared" si="86"/>
        <v>-21.214521477790157</v>
      </c>
      <c r="T165">
        <f t="shared" si="87"/>
        <v>-271.89233611099496</v>
      </c>
      <c r="V165">
        <f t="shared" si="94"/>
        <v>126.78547852220984</v>
      </c>
      <c r="W165">
        <f t="shared" si="95"/>
        <v>-271.89233611099496</v>
      </c>
      <c r="X165">
        <f t="shared" si="96"/>
        <v>-21.214521477790157</v>
      </c>
      <c r="Y165">
        <f t="shared" si="97"/>
        <v>-271.89233611099496</v>
      </c>
      <c r="AA165">
        <v>155</v>
      </c>
      <c r="AB165">
        <f t="shared" si="98"/>
        <v>-407.8385041664925</v>
      </c>
      <c r="AC165">
        <f t="shared" si="99"/>
        <v>190.17821778331478</v>
      </c>
      <c r="AD165">
        <v>155</v>
      </c>
      <c r="AE165">
        <f t="shared" si="100"/>
        <v>-589.10006157382247</v>
      </c>
      <c r="AF165">
        <f t="shared" si="101"/>
        <v>274.70187013145465</v>
      </c>
      <c r="AV165">
        <v>155</v>
      </c>
      <c r="AW165">
        <f t="shared" si="102"/>
        <v>-634.41545092565491</v>
      </c>
      <c r="AX165">
        <f t="shared" si="103"/>
        <v>295.83278321848962</v>
      </c>
      <c r="AZ165">
        <f t="shared" si="105"/>
        <v>494.97474683058329</v>
      </c>
      <c r="BA165">
        <f t="shared" si="104"/>
        <v>494.97474683058323</v>
      </c>
    </row>
    <row r="166" spans="9:53" x14ac:dyDescent="0.25">
      <c r="I166">
        <v>156</v>
      </c>
      <c r="J166">
        <f t="shared" si="88"/>
        <v>-456.7727288213004</v>
      </c>
      <c r="K166">
        <f t="shared" si="89"/>
        <v>203.36832153790021</v>
      </c>
      <c r="M166">
        <v>156</v>
      </c>
      <c r="N166">
        <f t="shared" si="90"/>
        <v>-525.28863814449539</v>
      </c>
      <c r="O166">
        <f t="shared" si="91"/>
        <v>233.87356976858524</v>
      </c>
      <c r="Q166">
        <f t="shared" si="92"/>
        <v>122.02099292274013</v>
      </c>
      <c r="R166">
        <f t="shared" si="93"/>
        <v>-274.06363729278024</v>
      </c>
      <c r="S166">
        <f t="shared" si="86"/>
        <v>-25.979007077259865</v>
      </c>
      <c r="T166">
        <f t="shared" si="87"/>
        <v>-274.06363729278024</v>
      </c>
      <c r="V166">
        <f t="shared" si="94"/>
        <v>122.02099292274013</v>
      </c>
      <c r="W166">
        <f t="shared" si="95"/>
        <v>-274.06363729278024</v>
      </c>
      <c r="X166">
        <f t="shared" si="96"/>
        <v>-25.979007077259865</v>
      </c>
      <c r="Y166">
        <f t="shared" si="97"/>
        <v>-274.06363729278024</v>
      </c>
      <c r="AA166">
        <v>156</v>
      </c>
      <c r="AB166">
        <f t="shared" si="98"/>
        <v>-411.09545593917034</v>
      </c>
      <c r="AC166">
        <f t="shared" si="99"/>
        <v>183.03148938411019</v>
      </c>
      <c r="AD166">
        <v>156</v>
      </c>
      <c r="AE166">
        <f t="shared" si="100"/>
        <v>-593.80454746769044</v>
      </c>
      <c r="AF166">
        <f t="shared" si="101"/>
        <v>264.37881799927027</v>
      </c>
      <c r="AV166">
        <v>156</v>
      </c>
      <c r="AW166">
        <f t="shared" si="102"/>
        <v>-639.48182034982051</v>
      </c>
      <c r="AX166">
        <f t="shared" si="103"/>
        <v>284.71565015306032</v>
      </c>
      <c r="AZ166">
        <f t="shared" si="105"/>
        <v>494.97474683058329</v>
      </c>
      <c r="BA166">
        <f t="shared" si="104"/>
        <v>494.97474683058323</v>
      </c>
    </row>
    <row r="167" spans="9:53" x14ac:dyDescent="0.25">
      <c r="I167">
        <v>157</v>
      </c>
      <c r="J167">
        <f t="shared" si="88"/>
        <v>-460.25242672622005</v>
      </c>
      <c r="K167">
        <f t="shared" si="89"/>
        <v>195.36556424463708</v>
      </c>
      <c r="M167">
        <v>157</v>
      </c>
      <c r="N167">
        <f t="shared" si="90"/>
        <v>-529.29029073515312</v>
      </c>
      <c r="O167">
        <f t="shared" si="91"/>
        <v>224.67039888133263</v>
      </c>
      <c r="Q167">
        <f t="shared" si="92"/>
        <v>117.21933854678225</v>
      </c>
      <c r="R167">
        <f t="shared" si="93"/>
        <v>-276.15145603573205</v>
      </c>
      <c r="S167">
        <f t="shared" si="86"/>
        <v>-30.780661453217746</v>
      </c>
      <c r="T167">
        <f t="shared" si="87"/>
        <v>-276.15145603573205</v>
      </c>
      <c r="V167">
        <f t="shared" si="94"/>
        <v>117.21933854678225</v>
      </c>
      <c r="W167">
        <f t="shared" si="95"/>
        <v>-276.15145603573205</v>
      </c>
      <c r="X167">
        <f t="shared" si="96"/>
        <v>-30.780661453217746</v>
      </c>
      <c r="Y167">
        <f t="shared" si="97"/>
        <v>-276.15145603573205</v>
      </c>
      <c r="AA167">
        <v>157</v>
      </c>
      <c r="AB167">
        <f t="shared" si="98"/>
        <v>-414.22718405359808</v>
      </c>
      <c r="AC167">
        <f t="shared" si="99"/>
        <v>175.82900782017336</v>
      </c>
      <c r="AD167">
        <v>157</v>
      </c>
      <c r="AE167">
        <f t="shared" si="100"/>
        <v>-598.32815474408608</v>
      </c>
      <c r="AF167">
        <f t="shared" si="101"/>
        <v>253.9752335180282</v>
      </c>
      <c r="AV167">
        <v>157</v>
      </c>
      <c r="AW167">
        <f t="shared" si="102"/>
        <v>-644.35339741670816</v>
      </c>
      <c r="AX167">
        <f t="shared" si="103"/>
        <v>273.51178994249193</v>
      </c>
      <c r="AZ167">
        <f t="shared" si="105"/>
        <v>494.97474683058329</v>
      </c>
      <c r="BA167">
        <f t="shared" si="104"/>
        <v>494.97474683058323</v>
      </c>
    </row>
    <row r="168" spans="9:53" x14ac:dyDescent="0.25">
      <c r="I168">
        <v>158</v>
      </c>
      <c r="J168">
        <f t="shared" si="88"/>
        <v>-463.59192728339366</v>
      </c>
      <c r="K168">
        <f t="shared" si="89"/>
        <v>187.30329670795612</v>
      </c>
      <c r="M168">
        <v>158</v>
      </c>
      <c r="N168">
        <f t="shared" si="90"/>
        <v>-533.13071637590269</v>
      </c>
      <c r="O168">
        <f t="shared" si="91"/>
        <v>215.39879121414953</v>
      </c>
      <c r="Q168">
        <f t="shared" si="92"/>
        <v>112.38197802477367</v>
      </c>
      <c r="R168">
        <f t="shared" si="93"/>
        <v>-278.1551563700362</v>
      </c>
      <c r="S168">
        <f t="shared" si="86"/>
        <v>-35.618021975226327</v>
      </c>
      <c r="T168">
        <f t="shared" si="87"/>
        <v>-278.1551563700362</v>
      </c>
      <c r="V168">
        <f t="shared" si="94"/>
        <v>112.38197802477367</v>
      </c>
      <c r="W168">
        <f t="shared" si="95"/>
        <v>-278.1551563700362</v>
      </c>
      <c r="X168">
        <f t="shared" si="96"/>
        <v>-35.618021975226327</v>
      </c>
      <c r="Y168">
        <f t="shared" si="97"/>
        <v>-278.1551563700362</v>
      </c>
      <c r="AA168">
        <v>158</v>
      </c>
      <c r="AB168">
        <f t="shared" si="98"/>
        <v>-417.23273455505426</v>
      </c>
      <c r="AC168">
        <f t="shared" si="99"/>
        <v>168.57296703716051</v>
      </c>
      <c r="AD168">
        <v>158</v>
      </c>
      <c r="AE168">
        <f t="shared" si="100"/>
        <v>-602.66950546841178</v>
      </c>
      <c r="AF168">
        <f t="shared" si="101"/>
        <v>243.49428572034296</v>
      </c>
      <c r="AV168">
        <v>158</v>
      </c>
      <c r="AW168">
        <f t="shared" si="102"/>
        <v>-649.02869819675107</v>
      </c>
      <c r="AX168">
        <f t="shared" si="103"/>
        <v>262.22461539113857</v>
      </c>
      <c r="AZ168">
        <f t="shared" si="105"/>
        <v>494.97474683058329</v>
      </c>
      <c r="BA168">
        <f t="shared" si="104"/>
        <v>494.97474683058323</v>
      </c>
    </row>
    <row r="169" spans="9:53" x14ac:dyDescent="0.25">
      <c r="I169">
        <v>159</v>
      </c>
      <c r="J169">
        <f t="shared" si="88"/>
        <v>-466.79021324860088</v>
      </c>
      <c r="K169">
        <f t="shared" si="89"/>
        <v>179.18397477265012</v>
      </c>
      <c r="M169">
        <v>159</v>
      </c>
      <c r="N169">
        <f t="shared" si="90"/>
        <v>-536.80874523589102</v>
      </c>
      <c r="O169">
        <f t="shared" si="91"/>
        <v>206.06157098854763</v>
      </c>
      <c r="Q169">
        <f t="shared" si="92"/>
        <v>107.51038486359006</v>
      </c>
      <c r="R169">
        <f t="shared" si="93"/>
        <v>-280.07412794916053</v>
      </c>
      <c r="S169">
        <f t="shared" si="86"/>
        <v>-40.489615136409938</v>
      </c>
      <c r="T169">
        <f t="shared" si="87"/>
        <v>-280.07412794916053</v>
      </c>
      <c r="V169">
        <f t="shared" si="94"/>
        <v>107.51038486359006</v>
      </c>
      <c r="W169">
        <f t="shared" si="95"/>
        <v>-280.07412794916053</v>
      </c>
      <c r="X169">
        <f t="shared" si="96"/>
        <v>-40.489615136409938</v>
      </c>
      <c r="Y169">
        <f t="shared" si="97"/>
        <v>-280.07412794916053</v>
      </c>
      <c r="AA169">
        <v>159</v>
      </c>
      <c r="AB169">
        <f t="shared" si="98"/>
        <v>-420.11119192374076</v>
      </c>
      <c r="AC169">
        <f t="shared" si="99"/>
        <v>161.2655772953851</v>
      </c>
      <c r="AD169">
        <v>159</v>
      </c>
      <c r="AE169">
        <f t="shared" si="100"/>
        <v>-606.82727722318111</v>
      </c>
      <c r="AF169">
        <f t="shared" si="101"/>
        <v>232.93916720444514</v>
      </c>
      <c r="AV169">
        <v>159</v>
      </c>
      <c r="AW169">
        <f t="shared" si="102"/>
        <v>-653.50629854804117</v>
      </c>
      <c r="AX169">
        <f t="shared" si="103"/>
        <v>250.85756468171016</v>
      </c>
      <c r="AZ169">
        <f t="shared" si="105"/>
        <v>494.97474683058329</v>
      </c>
      <c r="BA169">
        <f t="shared" si="104"/>
        <v>494.97474683058323</v>
      </c>
    </row>
    <row r="170" spans="9:53" x14ac:dyDescent="0.25">
      <c r="I170">
        <v>160</v>
      </c>
      <c r="J170">
        <f t="shared" si="88"/>
        <v>-469.84631039295414</v>
      </c>
      <c r="K170">
        <f t="shared" si="89"/>
        <v>171.01007166283443</v>
      </c>
      <c r="M170">
        <v>160</v>
      </c>
      <c r="N170">
        <f t="shared" si="90"/>
        <v>-540.32325695189729</v>
      </c>
      <c r="O170">
        <f t="shared" si="91"/>
        <v>196.66158241225961</v>
      </c>
      <c r="Q170">
        <f t="shared" si="92"/>
        <v>102.60604299770067</v>
      </c>
      <c r="R170">
        <f t="shared" si="93"/>
        <v>-281.90778623577251</v>
      </c>
      <c r="S170">
        <f t="shared" si="86"/>
        <v>-45.393957002299331</v>
      </c>
      <c r="T170">
        <f t="shared" si="87"/>
        <v>-281.90778623577251</v>
      </c>
      <c r="V170">
        <f t="shared" si="94"/>
        <v>102.60604299770067</v>
      </c>
      <c r="W170">
        <f t="shared" si="95"/>
        <v>-281.90778623577251</v>
      </c>
      <c r="X170">
        <f t="shared" si="96"/>
        <v>-45.393957002299331</v>
      </c>
      <c r="Y170">
        <f t="shared" si="97"/>
        <v>-281.90778623577251</v>
      </c>
      <c r="AA170">
        <v>160</v>
      </c>
      <c r="AB170">
        <f t="shared" si="98"/>
        <v>-422.86167935365876</v>
      </c>
      <c r="AC170">
        <f t="shared" si="99"/>
        <v>153.909064496551</v>
      </c>
      <c r="AD170">
        <v>160</v>
      </c>
      <c r="AE170">
        <f t="shared" si="100"/>
        <v>-610.80020351084045</v>
      </c>
      <c r="AF170">
        <f t="shared" si="101"/>
        <v>222.31309316168478</v>
      </c>
      <c r="AV170">
        <v>160</v>
      </c>
      <c r="AW170">
        <f t="shared" si="102"/>
        <v>-657.78483455013577</v>
      </c>
      <c r="AX170">
        <f t="shared" si="103"/>
        <v>239.41410032796821</v>
      </c>
      <c r="AZ170">
        <f t="shared" si="105"/>
        <v>494.97474683058329</v>
      </c>
      <c r="BA170">
        <f t="shared" si="104"/>
        <v>494.97474683058323</v>
      </c>
    </row>
    <row r="171" spans="9:53" x14ac:dyDescent="0.25">
      <c r="I171">
        <v>161</v>
      </c>
      <c r="J171">
        <f t="shared" si="88"/>
        <v>-472.75928779965835</v>
      </c>
      <c r="K171">
        <f t="shared" si="89"/>
        <v>162.78407722857852</v>
      </c>
      <c r="M171">
        <v>161</v>
      </c>
      <c r="N171">
        <f t="shared" si="90"/>
        <v>-543.67318096960707</v>
      </c>
      <c r="O171">
        <f t="shared" si="91"/>
        <v>187.20168881286529</v>
      </c>
      <c r="Q171">
        <f t="shared" si="92"/>
        <v>97.670446337147112</v>
      </c>
      <c r="R171">
        <f t="shared" si="93"/>
        <v>-283.655572679795</v>
      </c>
      <c r="S171">
        <f t="shared" si="86"/>
        <v>-50.329553662852888</v>
      </c>
      <c r="T171">
        <f t="shared" si="87"/>
        <v>-283.655572679795</v>
      </c>
      <c r="V171">
        <f t="shared" si="94"/>
        <v>97.670446337147112</v>
      </c>
      <c r="W171">
        <f t="shared" si="95"/>
        <v>-283.655572679795</v>
      </c>
      <c r="X171">
        <f t="shared" si="96"/>
        <v>-50.329553662852888</v>
      </c>
      <c r="Y171">
        <f t="shared" si="97"/>
        <v>-283.655572679795</v>
      </c>
      <c r="AA171">
        <v>161</v>
      </c>
      <c r="AB171">
        <f t="shared" si="98"/>
        <v>-425.48335901969256</v>
      </c>
      <c r="AC171">
        <f t="shared" si="99"/>
        <v>146.50566950572068</v>
      </c>
      <c r="AD171">
        <v>161</v>
      </c>
      <c r="AE171">
        <f t="shared" si="100"/>
        <v>-614.58707413955585</v>
      </c>
      <c r="AF171">
        <f t="shared" si="101"/>
        <v>211.61930039715207</v>
      </c>
      <c r="AV171">
        <v>161</v>
      </c>
      <c r="AW171">
        <f t="shared" si="102"/>
        <v>-661.8630029195217</v>
      </c>
      <c r="AX171">
        <f t="shared" si="103"/>
        <v>227.89770812000992</v>
      </c>
      <c r="AZ171">
        <f t="shared" si="105"/>
        <v>494.97474683058329</v>
      </c>
      <c r="BA171">
        <f t="shared" si="104"/>
        <v>494.97474683058323</v>
      </c>
    </row>
    <row r="172" spans="9:53" x14ac:dyDescent="0.25">
      <c r="I172">
        <v>162</v>
      </c>
      <c r="J172">
        <f t="shared" si="88"/>
        <v>-475.52825814757676</v>
      </c>
      <c r="K172">
        <f t="shared" si="89"/>
        <v>154.50849718747375</v>
      </c>
      <c r="M172">
        <v>162</v>
      </c>
      <c r="N172">
        <f t="shared" si="90"/>
        <v>-546.85749686971326</v>
      </c>
      <c r="O172">
        <f t="shared" si="91"/>
        <v>177.6847717655948</v>
      </c>
      <c r="Q172">
        <f t="shared" si="92"/>
        <v>92.705098312484253</v>
      </c>
      <c r="R172">
        <f t="shared" si="93"/>
        <v>-285.31695488854604</v>
      </c>
      <c r="S172">
        <f t="shared" si="86"/>
        <v>-55.294901687515747</v>
      </c>
      <c r="T172">
        <f t="shared" si="87"/>
        <v>-285.31695488854604</v>
      </c>
      <c r="V172">
        <f t="shared" si="94"/>
        <v>92.705098312484253</v>
      </c>
      <c r="W172">
        <f t="shared" si="95"/>
        <v>-285.31695488854604</v>
      </c>
      <c r="X172">
        <f t="shared" si="96"/>
        <v>-55.294901687515747</v>
      </c>
      <c r="Y172">
        <f t="shared" si="97"/>
        <v>-285.31695488854604</v>
      </c>
      <c r="AA172">
        <v>162</v>
      </c>
      <c r="AB172">
        <f t="shared" si="98"/>
        <v>-427.97543233281908</v>
      </c>
      <c r="AC172">
        <f t="shared" si="99"/>
        <v>139.05764746872637</v>
      </c>
      <c r="AD172">
        <v>162</v>
      </c>
      <c r="AE172">
        <f t="shared" si="100"/>
        <v>-618.18673559184981</v>
      </c>
      <c r="AF172">
        <f t="shared" si="101"/>
        <v>200.86104634371588</v>
      </c>
      <c r="AV172">
        <v>162</v>
      </c>
      <c r="AW172">
        <f t="shared" si="102"/>
        <v>-665.73956140660744</v>
      </c>
      <c r="AX172">
        <f t="shared" si="103"/>
        <v>216.31189606246326</v>
      </c>
      <c r="AZ172">
        <f t="shared" si="105"/>
        <v>494.97474683058329</v>
      </c>
      <c r="BA172">
        <f t="shared" si="104"/>
        <v>494.97474683058323</v>
      </c>
    </row>
    <row r="173" spans="9:53" x14ac:dyDescent="0.25">
      <c r="I173">
        <v>163</v>
      </c>
      <c r="J173">
        <f t="shared" si="88"/>
        <v>-478.1523779815177</v>
      </c>
      <c r="K173">
        <f t="shared" si="89"/>
        <v>146.18585236136852</v>
      </c>
      <c r="M173">
        <v>163</v>
      </c>
      <c r="N173">
        <f t="shared" si="90"/>
        <v>-549.87523467874541</v>
      </c>
      <c r="O173">
        <f t="shared" si="91"/>
        <v>168.11373021557381</v>
      </c>
      <c r="Q173">
        <f t="shared" si="92"/>
        <v>87.711511416821111</v>
      </c>
      <c r="R173">
        <f t="shared" si="93"/>
        <v>-286.89142678891062</v>
      </c>
      <c r="S173">
        <f t="shared" si="86"/>
        <v>-60.288488583178889</v>
      </c>
      <c r="T173">
        <f t="shared" si="87"/>
        <v>-286.89142678891062</v>
      </c>
      <c r="V173">
        <f t="shared" si="94"/>
        <v>87.711511416821111</v>
      </c>
      <c r="W173">
        <f t="shared" si="95"/>
        <v>-286.89142678891062</v>
      </c>
      <c r="X173">
        <f t="shared" si="96"/>
        <v>-60.288488583178889</v>
      </c>
      <c r="Y173">
        <f t="shared" si="97"/>
        <v>-286.89142678891062</v>
      </c>
      <c r="AA173">
        <v>163</v>
      </c>
      <c r="AB173">
        <f t="shared" si="98"/>
        <v>-430.33714018336593</v>
      </c>
      <c r="AC173">
        <f t="shared" si="99"/>
        <v>131.56726712523167</v>
      </c>
      <c r="AD173">
        <v>163</v>
      </c>
      <c r="AE173">
        <f t="shared" si="100"/>
        <v>-621.59809137597301</v>
      </c>
      <c r="AF173">
        <f t="shared" si="101"/>
        <v>190.04160806977907</v>
      </c>
      <c r="AV173">
        <v>163</v>
      </c>
      <c r="AW173">
        <f t="shared" si="102"/>
        <v>-669.41332917412478</v>
      </c>
      <c r="AX173">
        <f t="shared" si="103"/>
        <v>204.66019330591593</v>
      </c>
      <c r="AZ173">
        <f t="shared" si="105"/>
        <v>494.97474683058329</v>
      </c>
      <c r="BA173">
        <f t="shared" si="104"/>
        <v>494.97474683058323</v>
      </c>
    </row>
    <row r="174" spans="9:53" x14ac:dyDescent="0.25">
      <c r="I174">
        <v>164</v>
      </c>
      <c r="J174">
        <f t="shared" si="88"/>
        <v>-480.63084796915933</v>
      </c>
      <c r="K174">
        <f t="shared" si="89"/>
        <v>137.81867790849984</v>
      </c>
      <c r="M174">
        <v>164</v>
      </c>
      <c r="N174">
        <f t="shared" si="90"/>
        <v>-552.72547516453324</v>
      </c>
      <c r="O174">
        <f t="shared" si="91"/>
        <v>158.4914795947748</v>
      </c>
      <c r="Q174">
        <f t="shared" si="92"/>
        <v>82.691206745099905</v>
      </c>
      <c r="R174">
        <f t="shared" si="93"/>
        <v>-288.37850878149561</v>
      </c>
      <c r="S174">
        <f t="shared" si="86"/>
        <v>-65.308793254900095</v>
      </c>
      <c r="T174">
        <f t="shared" si="87"/>
        <v>-288.37850878149561</v>
      </c>
      <c r="V174">
        <f t="shared" si="94"/>
        <v>82.691206745099905</v>
      </c>
      <c r="W174">
        <f t="shared" si="95"/>
        <v>-288.37850878149561</v>
      </c>
      <c r="X174">
        <f t="shared" si="96"/>
        <v>-65.308793254900095</v>
      </c>
      <c r="Y174">
        <f t="shared" si="97"/>
        <v>-288.37850878149561</v>
      </c>
      <c r="AA174">
        <v>164</v>
      </c>
      <c r="AB174">
        <f t="shared" si="98"/>
        <v>-432.56776317224342</v>
      </c>
      <c r="AC174">
        <f t="shared" si="99"/>
        <v>124.03681011764985</v>
      </c>
      <c r="AD174">
        <v>164</v>
      </c>
      <c r="AE174">
        <f t="shared" si="100"/>
        <v>-624.82010235990708</v>
      </c>
      <c r="AF174">
        <f t="shared" si="101"/>
        <v>179.16428128104977</v>
      </c>
      <c r="AV174">
        <v>164</v>
      </c>
      <c r="AW174">
        <f t="shared" si="102"/>
        <v>-672.88318715682306</v>
      </c>
      <c r="AX174">
        <f t="shared" si="103"/>
        <v>192.94614907189975</v>
      </c>
      <c r="AZ174">
        <f t="shared" si="105"/>
        <v>494.97474683058329</v>
      </c>
      <c r="BA174">
        <f t="shared" si="104"/>
        <v>494.97474683058323</v>
      </c>
    </row>
    <row r="175" spans="9:53" x14ac:dyDescent="0.25">
      <c r="I175">
        <v>165</v>
      </c>
      <c r="J175">
        <f t="shared" si="88"/>
        <v>-482.96291314453413</v>
      </c>
      <c r="K175">
        <f t="shared" si="89"/>
        <v>129.40952255126052</v>
      </c>
      <c r="M175">
        <v>165</v>
      </c>
      <c r="N175">
        <f t="shared" si="90"/>
        <v>-555.40735011621416</v>
      </c>
      <c r="O175">
        <f t="shared" si="91"/>
        <v>148.82095093394958</v>
      </c>
      <c r="Q175">
        <f t="shared" si="92"/>
        <v>77.645713530756311</v>
      </c>
      <c r="R175">
        <f t="shared" si="93"/>
        <v>-289.77774788672048</v>
      </c>
      <c r="S175">
        <f t="shared" si="86"/>
        <v>-70.354286469243689</v>
      </c>
      <c r="T175">
        <f t="shared" si="87"/>
        <v>-289.77774788672048</v>
      </c>
      <c r="V175">
        <f t="shared" si="94"/>
        <v>77.645713530756311</v>
      </c>
      <c r="W175">
        <f t="shared" si="95"/>
        <v>-289.77774788672048</v>
      </c>
      <c r="X175">
        <f t="shared" si="96"/>
        <v>-70.354286469243689</v>
      </c>
      <c r="Y175">
        <f t="shared" si="97"/>
        <v>-289.77774788672048</v>
      </c>
      <c r="AA175">
        <v>165</v>
      </c>
      <c r="AB175">
        <f t="shared" si="98"/>
        <v>-434.66662183008071</v>
      </c>
      <c r="AC175">
        <f t="shared" si="99"/>
        <v>116.46857029613446</v>
      </c>
      <c r="AD175">
        <v>165</v>
      </c>
      <c r="AE175">
        <f t="shared" si="100"/>
        <v>-627.85178708789431</v>
      </c>
      <c r="AF175">
        <f t="shared" si="101"/>
        <v>168.23237931663866</v>
      </c>
      <c r="AV175">
        <v>165</v>
      </c>
      <c r="AW175">
        <f t="shared" si="102"/>
        <v>-676.14807840234778</v>
      </c>
      <c r="AX175">
        <f t="shared" si="103"/>
        <v>181.17333157176472</v>
      </c>
      <c r="AZ175">
        <f t="shared" si="105"/>
        <v>494.97474683058329</v>
      </c>
      <c r="BA175">
        <f t="shared" si="104"/>
        <v>494.97474683058323</v>
      </c>
    </row>
    <row r="176" spans="9:53" x14ac:dyDescent="0.25">
      <c r="I176">
        <v>166</v>
      </c>
      <c r="J176">
        <f t="shared" si="88"/>
        <v>-485.14786313799823</v>
      </c>
      <c r="K176">
        <f t="shared" si="89"/>
        <v>120.96094779983386</v>
      </c>
      <c r="M176">
        <v>166</v>
      </c>
      <c r="N176">
        <f t="shared" si="90"/>
        <v>-557.92004260869794</v>
      </c>
      <c r="O176">
        <f t="shared" si="91"/>
        <v>139.10508996980894</v>
      </c>
      <c r="Q176">
        <f t="shared" si="92"/>
        <v>72.576568679900319</v>
      </c>
      <c r="R176">
        <f t="shared" si="93"/>
        <v>-291.08871788279896</v>
      </c>
      <c r="S176">
        <f t="shared" si="86"/>
        <v>-75.423431320099681</v>
      </c>
      <c r="T176">
        <f t="shared" si="87"/>
        <v>-291.08871788279896</v>
      </c>
      <c r="V176">
        <f t="shared" si="94"/>
        <v>72.576568679900319</v>
      </c>
      <c r="W176">
        <f t="shared" si="95"/>
        <v>-291.08871788279896</v>
      </c>
      <c r="X176">
        <f t="shared" si="96"/>
        <v>-75.423431320099681</v>
      </c>
      <c r="Y176">
        <f t="shared" si="97"/>
        <v>-291.08871788279896</v>
      </c>
      <c r="AA176">
        <v>166</v>
      </c>
      <c r="AB176">
        <f t="shared" si="98"/>
        <v>-436.63307682419844</v>
      </c>
      <c r="AC176">
        <f t="shared" si="99"/>
        <v>108.86485301985047</v>
      </c>
      <c r="AD176">
        <v>166</v>
      </c>
      <c r="AE176">
        <f t="shared" si="100"/>
        <v>-630.69222207939765</v>
      </c>
      <c r="AF176">
        <f t="shared" si="101"/>
        <v>157.24923213978403</v>
      </c>
      <c r="AV176">
        <v>166</v>
      </c>
      <c r="AW176">
        <f t="shared" si="102"/>
        <v>-679.2070083931975</v>
      </c>
      <c r="AX176">
        <f t="shared" si="103"/>
        <v>169.34532691976742</v>
      </c>
      <c r="AZ176">
        <f t="shared" si="105"/>
        <v>494.97474683058329</v>
      </c>
      <c r="BA176">
        <f t="shared" si="104"/>
        <v>494.97474683058323</v>
      </c>
    </row>
    <row r="177" spans="9:56" x14ac:dyDescent="0.25">
      <c r="I177">
        <v>167</v>
      </c>
      <c r="J177">
        <f t="shared" si="88"/>
        <v>-487.18503239261764</v>
      </c>
      <c r="K177">
        <f t="shared" si="89"/>
        <v>112.47552717193238</v>
      </c>
      <c r="M177">
        <v>167</v>
      </c>
      <c r="N177">
        <f t="shared" si="90"/>
        <v>-560.2627872515103</v>
      </c>
      <c r="O177">
        <f t="shared" si="91"/>
        <v>129.34685624772226</v>
      </c>
      <c r="Q177">
        <f t="shared" si="92"/>
        <v>67.485316303159436</v>
      </c>
      <c r="R177">
        <f t="shared" si="93"/>
        <v>-292.31101943557059</v>
      </c>
      <c r="S177">
        <f t="shared" si="86"/>
        <v>-80.514683696840564</v>
      </c>
      <c r="T177">
        <f t="shared" si="87"/>
        <v>-292.31101943557059</v>
      </c>
      <c r="V177">
        <f t="shared" si="94"/>
        <v>67.485316303159436</v>
      </c>
      <c r="W177">
        <f t="shared" si="95"/>
        <v>-292.31101943557059</v>
      </c>
      <c r="X177">
        <f t="shared" si="96"/>
        <v>-80.514683696840564</v>
      </c>
      <c r="Y177">
        <f t="shared" si="97"/>
        <v>-292.31101943557059</v>
      </c>
      <c r="AA177">
        <v>167</v>
      </c>
      <c r="AB177">
        <f t="shared" si="98"/>
        <v>-438.46652915335585</v>
      </c>
      <c r="AC177">
        <f t="shared" si="99"/>
        <v>101.22797445473915</v>
      </c>
      <c r="AD177">
        <v>167</v>
      </c>
      <c r="AE177">
        <f t="shared" si="100"/>
        <v>-633.34054211040291</v>
      </c>
      <c r="AF177">
        <f t="shared" si="101"/>
        <v>146.2181853235121</v>
      </c>
      <c r="AV177">
        <v>167</v>
      </c>
      <c r="AW177">
        <f t="shared" si="102"/>
        <v>-682.05904534966464</v>
      </c>
      <c r="AX177">
        <f t="shared" si="103"/>
        <v>157.46573804070536</v>
      </c>
      <c r="AZ177">
        <f t="shared" si="105"/>
        <v>494.97474683058329</v>
      </c>
      <c r="BA177">
        <f t="shared" si="104"/>
        <v>494.97474683058323</v>
      </c>
    </row>
    <row r="178" spans="9:56" x14ac:dyDescent="0.25">
      <c r="I178">
        <v>168</v>
      </c>
      <c r="J178">
        <f t="shared" si="88"/>
        <v>-489.07380036690284</v>
      </c>
      <c r="K178">
        <f t="shared" si="89"/>
        <v>103.95584540887965</v>
      </c>
      <c r="M178">
        <v>168</v>
      </c>
      <c r="N178">
        <f t="shared" si="90"/>
        <v>-562.43487042193829</v>
      </c>
      <c r="O178">
        <f t="shared" si="91"/>
        <v>119.5492222202116</v>
      </c>
      <c r="Q178">
        <f t="shared" si="92"/>
        <v>62.373507245327794</v>
      </c>
      <c r="R178">
        <f t="shared" si="93"/>
        <v>-293.44428022014171</v>
      </c>
      <c r="S178">
        <f t="shared" si="86"/>
        <v>-85.626492754672199</v>
      </c>
      <c r="T178">
        <f t="shared" si="87"/>
        <v>-293.44428022014171</v>
      </c>
      <c r="V178">
        <f t="shared" si="94"/>
        <v>62.373507245327794</v>
      </c>
      <c r="W178">
        <f t="shared" si="95"/>
        <v>-293.44428022014171</v>
      </c>
      <c r="X178">
        <f t="shared" si="96"/>
        <v>-85.626492754672199</v>
      </c>
      <c r="Y178">
        <f t="shared" si="97"/>
        <v>-293.44428022014171</v>
      </c>
      <c r="AA178">
        <v>168</v>
      </c>
      <c r="AB178">
        <f t="shared" si="98"/>
        <v>-440.16642033021253</v>
      </c>
      <c r="AC178">
        <f t="shared" si="99"/>
        <v>93.560260867991687</v>
      </c>
      <c r="AD178">
        <v>168</v>
      </c>
      <c r="AE178">
        <f t="shared" si="100"/>
        <v>-635.79594047697367</v>
      </c>
      <c r="AF178">
        <f t="shared" si="101"/>
        <v>135.14259903154357</v>
      </c>
      <c r="AV178">
        <v>168</v>
      </c>
      <c r="AW178">
        <f t="shared" si="102"/>
        <v>-684.70332051366404</v>
      </c>
      <c r="AX178">
        <f t="shared" si="103"/>
        <v>145.53818357243151</v>
      </c>
      <c r="AZ178">
        <f t="shared" si="105"/>
        <v>494.97474683058329</v>
      </c>
      <c r="BA178">
        <f t="shared" si="104"/>
        <v>494.97474683058323</v>
      </c>
    </row>
    <row r="179" spans="9:56" x14ac:dyDescent="0.25">
      <c r="I179">
        <v>169</v>
      </c>
      <c r="J179">
        <f t="shared" si="88"/>
        <v>-490.81359172383196</v>
      </c>
      <c r="K179">
        <f t="shared" si="89"/>
        <v>95.404497688272485</v>
      </c>
      <c r="M179">
        <v>169</v>
      </c>
      <c r="N179">
        <f t="shared" si="90"/>
        <v>-564.43563048240674</v>
      </c>
      <c r="O179">
        <f t="shared" si="91"/>
        <v>109.71517234151335</v>
      </c>
      <c r="Q179">
        <f t="shared" si="92"/>
        <v>57.242698612963494</v>
      </c>
      <c r="R179">
        <f t="shared" si="93"/>
        <v>-294.48815503429921</v>
      </c>
      <c r="S179">
        <f t="shared" si="86"/>
        <v>-90.757301387036506</v>
      </c>
      <c r="T179">
        <f t="shared" si="87"/>
        <v>-294.48815503429921</v>
      </c>
      <c r="V179">
        <f t="shared" si="94"/>
        <v>57.242698612963494</v>
      </c>
      <c r="W179">
        <f t="shared" si="95"/>
        <v>-294.48815503429921</v>
      </c>
      <c r="X179">
        <f t="shared" si="96"/>
        <v>-90.757301387036506</v>
      </c>
      <c r="Y179">
        <f t="shared" si="97"/>
        <v>-294.48815503429921</v>
      </c>
      <c r="AA179">
        <v>169</v>
      </c>
      <c r="AB179">
        <f t="shared" si="98"/>
        <v>-441.73223255144882</v>
      </c>
      <c r="AC179">
        <f t="shared" si="99"/>
        <v>85.864047919445241</v>
      </c>
      <c r="AD179">
        <v>169</v>
      </c>
      <c r="AE179">
        <f t="shared" si="100"/>
        <v>-638.05766924098157</v>
      </c>
      <c r="AF179">
        <f t="shared" si="101"/>
        <v>124.02584699475423</v>
      </c>
      <c r="AV179">
        <v>169</v>
      </c>
      <c r="AW179">
        <f t="shared" si="102"/>
        <v>-687.13902841336483</v>
      </c>
      <c r="AX179">
        <f t="shared" si="103"/>
        <v>133.56629676358148</v>
      </c>
      <c r="AZ179">
        <f t="shared" si="105"/>
        <v>494.97474683058329</v>
      </c>
      <c r="BA179">
        <f t="shared" si="104"/>
        <v>494.97474683058323</v>
      </c>
    </row>
    <row r="180" spans="9:56" x14ac:dyDescent="0.25">
      <c r="I180">
        <v>170</v>
      </c>
      <c r="J180">
        <f t="shared" si="88"/>
        <v>-492.40387650610398</v>
      </c>
      <c r="K180">
        <f t="shared" si="89"/>
        <v>86.82408883346514</v>
      </c>
      <c r="M180">
        <v>170</v>
      </c>
      <c r="N180">
        <f t="shared" si="90"/>
        <v>-566.26445798201962</v>
      </c>
      <c r="O180">
        <f t="shared" si="91"/>
        <v>99.847702158484907</v>
      </c>
      <c r="Q180">
        <f t="shared" si="92"/>
        <v>52.094453300079081</v>
      </c>
      <c r="R180">
        <f t="shared" si="93"/>
        <v>-295.44232590366238</v>
      </c>
      <c r="S180">
        <f t="shared" si="86"/>
        <v>-95.905546699920919</v>
      </c>
      <c r="T180">
        <f t="shared" si="87"/>
        <v>-295.44232590366238</v>
      </c>
      <c r="V180">
        <f t="shared" si="94"/>
        <v>52.094453300079081</v>
      </c>
      <c r="W180">
        <f t="shared" si="95"/>
        <v>-295.44232590366238</v>
      </c>
      <c r="X180">
        <f t="shared" si="96"/>
        <v>-95.905546699920919</v>
      </c>
      <c r="Y180">
        <f t="shared" si="97"/>
        <v>-295.44232590366238</v>
      </c>
      <c r="AA180">
        <v>170</v>
      </c>
      <c r="AB180">
        <f t="shared" si="98"/>
        <v>-443.1634888554936</v>
      </c>
      <c r="AC180">
        <f t="shared" si="99"/>
        <v>78.141679950118629</v>
      </c>
      <c r="AD180">
        <v>170</v>
      </c>
      <c r="AE180">
        <f t="shared" si="100"/>
        <v>-640.12503945793526</v>
      </c>
      <c r="AF180">
        <f t="shared" si="101"/>
        <v>112.87131548350467</v>
      </c>
      <c r="AV180">
        <v>170</v>
      </c>
      <c r="AW180">
        <f t="shared" si="102"/>
        <v>-689.36542710854565</v>
      </c>
      <c r="AX180">
        <f t="shared" si="103"/>
        <v>121.5537243668512</v>
      </c>
      <c r="AZ180">
        <f t="shared" si="105"/>
        <v>494.97474683058329</v>
      </c>
      <c r="BA180">
        <f t="shared" si="104"/>
        <v>494.97474683058323</v>
      </c>
    </row>
    <row r="181" spans="9:56" x14ac:dyDescent="0.25">
      <c r="I181">
        <v>171</v>
      </c>
      <c r="J181">
        <f t="shared" si="88"/>
        <v>-493.84417029756884</v>
      </c>
      <c r="K181">
        <f t="shared" si="89"/>
        <v>78.217232520115488</v>
      </c>
      <c r="M181">
        <v>171</v>
      </c>
      <c r="N181">
        <f t="shared" si="90"/>
        <v>-567.92079584220414</v>
      </c>
      <c r="O181">
        <f t="shared" si="91"/>
        <v>89.949817398132808</v>
      </c>
      <c r="Q181">
        <f t="shared" si="92"/>
        <v>46.930339512069295</v>
      </c>
      <c r="R181">
        <f t="shared" si="93"/>
        <v>-296.30650217854128</v>
      </c>
      <c r="S181">
        <f t="shared" si="86"/>
        <v>-101.0696604879307</v>
      </c>
      <c r="T181">
        <f t="shared" si="87"/>
        <v>-296.30650217854128</v>
      </c>
      <c r="V181">
        <f t="shared" si="94"/>
        <v>46.930339512069295</v>
      </c>
      <c r="W181">
        <f t="shared" si="95"/>
        <v>-296.30650217854128</v>
      </c>
      <c r="X181">
        <f t="shared" si="96"/>
        <v>-101.0696604879307</v>
      </c>
      <c r="Y181">
        <f t="shared" si="97"/>
        <v>-296.30650217854128</v>
      </c>
      <c r="AA181">
        <v>171</v>
      </c>
      <c r="AB181">
        <f t="shared" si="98"/>
        <v>-444.45975326781195</v>
      </c>
      <c r="AC181">
        <f t="shared" si="99"/>
        <v>70.395509268103936</v>
      </c>
      <c r="AD181">
        <v>171</v>
      </c>
      <c r="AE181">
        <f t="shared" si="100"/>
        <v>-641.99742138683951</v>
      </c>
      <c r="AF181">
        <f t="shared" si="101"/>
        <v>101.68240227615014</v>
      </c>
      <c r="AV181">
        <v>171</v>
      </c>
      <c r="AW181">
        <f t="shared" si="102"/>
        <v>-691.38183841659634</v>
      </c>
      <c r="AX181">
        <f t="shared" si="103"/>
        <v>109.50412552816168</v>
      </c>
      <c r="AZ181">
        <f t="shared" si="105"/>
        <v>494.97474683058329</v>
      </c>
      <c r="BA181">
        <f t="shared" si="104"/>
        <v>494.97474683058323</v>
      </c>
    </row>
    <row r="182" spans="9:56" x14ac:dyDescent="0.25">
      <c r="I182">
        <v>172</v>
      </c>
      <c r="J182">
        <f t="shared" si="88"/>
        <v>-495.13403437078512</v>
      </c>
      <c r="K182">
        <f t="shared" si="89"/>
        <v>69.586550480032869</v>
      </c>
      <c r="M182">
        <v>172</v>
      </c>
      <c r="N182">
        <f t="shared" si="90"/>
        <v>-569.4041395264029</v>
      </c>
      <c r="O182">
        <f t="shared" si="91"/>
        <v>80.024533052037796</v>
      </c>
      <c r="Q182">
        <f t="shared" si="92"/>
        <v>41.751930288019722</v>
      </c>
      <c r="R182">
        <f t="shared" si="93"/>
        <v>-297.08042062247108</v>
      </c>
      <c r="S182">
        <f t="shared" si="86"/>
        <v>-106.24806971198028</v>
      </c>
      <c r="T182">
        <f t="shared" si="87"/>
        <v>-297.08042062247108</v>
      </c>
      <c r="V182">
        <f t="shared" si="94"/>
        <v>41.751930288019722</v>
      </c>
      <c r="W182">
        <f t="shared" si="95"/>
        <v>-297.08042062247108</v>
      </c>
      <c r="X182">
        <f t="shared" si="96"/>
        <v>-106.24806971198028</v>
      </c>
      <c r="Y182">
        <f t="shared" si="97"/>
        <v>-297.08042062247108</v>
      </c>
      <c r="AA182">
        <v>172</v>
      </c>
      <c r="AB182">
        <f t="shared" si="98"/>
        <v>-445.62063093370659</v>
      </c>
      <c r="AC182">
        <f t="shared" si="99"/>
        <v>62.627895432029582</v>
      </c>
      <c r="AD182">
        <v>172</v>
      </c>
      <c r="AE182">
        <f t="shared" si="100"/>
        <v>-643.67424468202069</v>
      </c>
      <c r="AF182">
        <f t="shared" si="101"/>
        <v>90.462515624042737</v>
      </c>
      <c r="AV182">
        <v>172</v>
      </c>
      <c r="AW182">
        <f t="shared" si="102"/>
        <v>-693.18764811909921</v>
      </c>
      <c r="AX182">
        <f t="shared" si="103"/>
        <v>97.421170672046017</v>
      </c>
      <c r="AZ182">
        <f t="shared" si="105"/>
        <v>494.97474683058329</v>
      </c>
      <c r="BA182">
        <f t="shared" si="104"/>
        <v>494.97474683058323</v>
      </c>
    </row>
    <row r="183" spans="9:56" x14ac:dyDescent="0.25">
      <c r="I183">
        <v>173</v>
      </c>
      <c r="J183">
        <f t="shared" si="88"/>
        <v>-496.27307582066101</v>
      </c>
      <c r="K183">
        <f t="shared" si="89"/>
        <v>60.934671702573773</v>
      </c>
      <c r="M183">
        <v>173</v>
      </c>
      <c r="N183">
        <f t="shared" si="90"/>
        <v>-570.71403719376019</v>
      </c>
      <c r="O183">
        <f t="shared" si="91"/>
        <v>70.074872457959842</v>
      </c>
      <c r="Q183">
        <f t="shared" si="92"/>
        <v>36.560803021544267</v>
      </c>
      <c r="R183">
        <f t="shared" si="93"/>
        <v>-297.76384549239657</v>
      </c>
      <c r="S183">
        <f t="shared" si="86"/>
        <v>-111.43919697845573</v>
      </c>
      <c r="T183">
        <f t="shared" si="87"/>
        <v>-297.76384549239657</v>
      </c>
      <c r="V183">
        <f t="shared" si="94"/>
        <v>36.560803021544267</v>
      </c>
      <c r="W183">
        <f t="shared" si="95"/>
        <v>-297.76384549239657</v>
      </c>
      <c r="X183">
        <f t="shared" si="96"/>
        <v>-111.43919697845573</v>
      </c>
      <c r="Y183">
        <f t="shared" si="97"/>
        <v>-297.76384549239657</v>
      </c>
      <c r="AA183">
        <v>173</v>
      </c>
      <c r="AB183">
        <f t="shared" si="98"/>
        <v>-446.64576823859488</v>
      </c>
      <c r="AC183">
        <f t="shared" si="99"/>
        <v>54.841204532316397</v>
      </c>
      <c r="AD183">
        <v>173</v>
      </c>
      <c r="AE183">
        <f t="shared" si="100"/>
        <v>-645.15499856685926</v>
      </c>
      <c r="AF183">
        <f t="shared" si="101"/>
        <v>79.215073213345903</v>
      </c>
      <c r="AV183">
        <v>173</v>
      </c>
      <c r="AW183">
        <f t="shared" si="102"/>
        <v>-694.78230614892539</v>
      </c>
      <c r="AX183">
        <f t="shared" si="103"/>
        <v>85.308540383603287</v>
      </c>
      <c r="AZ183">
        <f t="shared" si="105"/>
        <v>494.97474683058329</v>
      </c>
      <c r="BA183">
        <f t="shared" si="104"/>
        <v>494.97474683058323</v>
      </c>
    </row>
    <row r="184" spans="9:56" x14ac:dyDescent="0.25">
      <c r="I184">
        <v>174</v>
      </c>
      <c r="J184">
        <f t="shared" si="88"/>
        <v>-497.26094768413662</v>
      </c>
      <c r="K184">
        <f t="shared" si="89"/>
        <v>52.264231633826867</v>
      </c>
      <c r="M184">
        <v>174</v>
      </c>
      <c r="N184">
        <f t="shared" si="90"/>
        <v>-571.85008983675709</v>
      </c>
      <c r="O184">
        <f t="shared" si="91"/>
        <v>60.103866378900896</v>
      </c>
      <c r="Q184">
        <f t="shared" si="92"/>
        <v>31.358538980296121</v>
      </c>
      <c r="R184">
        <f t="shared" si="93"/>
        <v>-298.35656861048199</v>
      </c>
      <c r="S184">
        <f t="shared" si="86"/>
        <v>-116.64146101970388</v>
      </c>
      <c r="T184">
        <f t="shared" si="87"/>
        <v>-298.35656861048199</v>
      </c>
      <c r="V184">
        <f t="shared" si="94"/>
        <v>31.358538980296121</v>
      </c>
      <c r="W184">
        <f t="shared" si="95"/>
        <v>-298.35656861048199</v>
      </c>
      <c r="X184">
        <f t="shared" si="96"/>
        <v>-116.64146101970388</v>
      </c>
      <c r="Y184">
        <f t="shared" si="97"/>
        <v>-298.35656861048199</v>
      </c>
      <c r="AA184">
        <v>174</v>
      </c>
      <c r="AB184">
        <f t="shared" si="98"/>
        <v>-447.53485291572298</v>
      </c>
      <c r="AC184">
        <f t="shared" si="99"/>
        <v>47.037808470444183</v>
      </c>
      <c r="AD184">
        <v>174</v>
      </c>
      <c r="AE184">
        <f t="shared" si="100"/>
        <v>-646.43923198937762</v>
      </c>
      <c r="AF184">
        <f t="shared" si="101"/>
        <v>67.943501123974926</v>
      </c>
      <c r="AV184">
        <v>174</v>
      </c>
      <c r="AW184">
        <f t="shared" si="102"/>
        <v>-696.16532675779126</v>
      </c>
      <c r="AX184">
        <f t="shared" si="103"/>
        <v>73.169924287357617</v>
      </c>
      <c r="AZ184">
        <f t="shared" si="105"/>
        <v>494.97474683058329</v>
      </c>
      <c r="BA184">
        <f t="shared" si="104"/>
        <v>494.97474683058323</v>
      </c>
    </row>
    <row r="185" spans="9:56" x14ac:dyDescent="0.25">
      <c r="I185">
        <v>175</v>
      </c>
      <c r="J185">
        <f t="shared" si="88"/>
        <v>-498.09734904587276</v>
      </c>
      <c r="K185">
        <f t="shared" si="89"/>
        <v>43.577871373829318</v>
      </c>
      <c r="M185">
        <v>175</v>
      </c>
      <c r="N185">
        <f t="shared" si="90"/>
        <v>-572.81195140275372</v>
      </c>
      <c r="O185">
        <f t="shared" si="91"/>
        <v>50.114552079903717</v>
      </c>
      <c r="Q185">
        <f t="shared" si="92"/>
        <v>26.146722824297591</v>
      </c>
      <c r="R185">
        <f t="shared" si="93"/>
        <v>-298.85840942752367</v>
      </c>
      <c r="S185">
        <f t="shared" si="86"/>
        <v>-121.8532771757024</v>
      </c>
      <c r="T185">
        <f t="shared" si="87"/>
        <v>-298.85840942752367</v>
      </c>
      <c r="V185">
        <f t="shared" si="94"/>
        <v>26.146722824297591</v>
      </c>
      <c r="W185">
        <f t="shared" si="95"/>
        <v>-298.85840942752367</v>
      </c>
      <c r="X185">
        <f t="shared" si="96"/>
        <v>-121.8532771757024</v>
      </c>
      <c r="Y185">
        <f t="shared" si="97"/>
        <v>-298.85840942752367</v>
      </c>
      <c r="AA185">
        <v>175</v>
      </c>
      <c r="AB185">
        <f t="shared" si="98"/>
        <v>-448.28761414128547</v>
      </c>
      <c r="AC185">
        <f t="shared" si="99"/>
        <v>39.22008423644639</v>
      </c>
      <c r="AD185">
        <v>175</v>
      </c>
      <c r="AE185">
        <f t="shared" si="100"/>
        <v>-647.52655375963457</v>
      </c>
      <c r="AF185">
        <f t="shared" si="101"/>
        <v>56.651232785978117</v>
      </c>
      <c r="AV185">
        <v>175</v>
      </c>
      <c r="AW185">
        <f t="shared" si="102"/>
        <v>-697.33628866422191</v>
      </c>
      <c r="AX185">
        <f t="shared" si="103"/>
        <v>61.009019923361045</v>
      </c>
      <c r="AZ185">
        <f t="shared" si="105"/>
        <v>494.97474683058329</v>
      </c>
      <c r="BA185">
        <f t="shared" si="104"/>
        <v>494.97474683058323</v>
      </c>
    </row>
    <row r="186" spans="9:56" x14ac:dyDescent="0.25">
      <c r="I186">
        <v>176</v>
      </c>
      <c r="J186">
        <f t="shared" si="88"/>
        <v>-498.78202512991209</v>
      </c>
      <c r="K186">
        <f t="shared" si="89"/>
        <v>34.878236872062764</v>
      </c>
      <c r="M186">
        <v>176</v>
      </c>
      <c r="N186">
        <f t="shared" si="90"/>
        <v>-573.59932889939887</v>
      </c>
      <c r="O186">
        <f t="shared" si="91"/>
        <v>40.109972402872174</v>
      </c>
      <c r="Q186">
        <f t="shared" si="92"/>
        <v>20.926942123237659</v>
      </c>
      <c r="R186">
        <f t="shared" si="93"/>
        <v>-299.26921507794725</v>
      </c>
      <c r="S186">
        <f t="shared" si="86"/>
        <v>-127.07305787676233</v>
      </c>
      <c r="T186">
        <f t="shared" si="87"/>
        <v>-299.26921507794725</v>
      </c>
      <c r="V186">
        <f t="shared" si="94"/>
        <v>20.926942123237659</v>
      </c>
      <c r="W186">
        <f t="shared" si="95"/>
        <v>-299.26921507794725</v>
      </c>
      <c r="X186">
        <f t="shared" si="96"/>
        <v>-127.07305787676233</v>
      </c>
      <c r="Y186">
        <f t="shared" si="97"/>
        <v>-299.26921507794725</v>
      </c>
      <c r="AA186">
        <v>176</v>
      </c>
      <c r="AB186">
        <f t="shared" si="98"/>
        <v>-448.90382261692088</v>
      </c>
      <c r="AC186">
        <f t="shared" si="99"/>
        <v>31.390413184856484</v>
      </c>
      <c r="AD186">
        <v>176</v>
      </c>
      <c r="AE186">
        <f t="shared" si="100"/>
        <v>-648.41663266888577</v>
      </c>
      <c r="AF186">
        <f t="shared" si="101"/>
        <v>45.34170793368159</v>
      </c>
      <c r="AV186">
        <v>176</v>
      </c>
      <c r="AW186">
        <f t="shared" si="102"/>
        <v>-698.29483518187692</v>
      </c>
      <c r="AX186">
        <f t="shared" si="103"/>
        <v>48.82953162088787</v>
      </c>
      <c r="AZ186">
        <f t="shared" si="105"/>
        <v>494.97474683058329</v>
      </c>
      <c r="BA186">
        <f t="shared" si="104"/>
        <v>494.97474683058323</v>
      </c>
      <c r="BC186">
        <f>AW8*1.15</f>
        <v>804.99999999999989</v>
      </c>
    </row>
    <row r="187" spans="9:56" x14ac:dyDescent="0.25">
      <c r="I187">
        <v>177</v>
      </c>
      <c r="J187">
        <f t="shared" si="88"/>
        <v>-499.3147673772869</v>
      </c>
      <c r="K187">
        <f t="shared" si="89"/>
        <v>26.167978121471904</v>
      </c>
      <c r="M187">
        <v>177</v>
      </c>
      <c r="N187">
        <f t="shared" si="90"/>
        <v>-574.21198248387998</v>
      </c>
      <c r="O187">
        <f t="shared" si="91"/>
        <v>30.09317483969269</v>
      </c>
      <c r="Q187">
        <f t="shared" si="92"/>
        <v>15.700786872883143</v>
      </c>
      <c r="R187">
        <f t="shared" si="93"/>
        <v>-299.58886042637215</v>
      </c>
      <c r="S187">
        <f t="shared" si="86"/>
        <v>-132.29921312711684</v>
      </c>
      <c r="T187">
        <f t="shared" si="87"/>
        <v>-299.58886042637215</v>
      </c>
      <c r="V187">
        <f t="shared" si="94"/>
        <v>15.700786872883143</v>
      </c>
      <c r="W187">
        <f t="shared" si="95"/>
        <v>-299.58886042637215</v>
      </c>
      <c r="X187">
        <f t="shared" si="96"/>
        <v>-132.29921312711684</v>
      </c>
      <c r="Y187">
        <f t="shared" si="97"/>
        <v>-299.58886042637215</v>
      </c>
      <c r="AA187">
        <v>177</v>
      </c>
      <c r="AB187">
        <f t="shared" si="98"/>
        <v>-449.3832906395582</v>
      </c>
      <c r="AC187">
        <f t="shared" si="99"/>
        <v>23.551180309324714</v>
      </c>
      <c r="AD187">
        <v>177</v>
      </c>
      <c r="AE187">
        <f t="shared" si="100"/>
        <v>-649.10919759047295</v>
      </c>
      <c r="AF187">
        <f t="shared" si="101"/>
        <v>34.018371557913476</v>
      </c>
      <c r="AV187">
        <v>177</v>
      </c>
      <c r="AW187">
        <f t="shared" si="102"/>
        <v>-699.0406743282017</v>
      </c>
      <c r="AX187">
        <f t="shared" si="103"/>
        <v>36.635169370060666</v>
      </c>
      <c r="AZ187">
        <f t="shared" si="105"/>
        <v>494.97474683058329</v>
      </c>
      <c r="BA187">
        <f t="shared" si="104"/>
        <v>494.97474683058323</v>
      </c>
      <c r="BC187" t="s">
        <v>209</v>
      </c>
      <c r="BD187" t="s">
        <v>206</v>
      </c>
    </row>
    <row r="188" spans="9:56" x14ac:dyDescent="0.25">
      <c r="I188">
        <v>178</v>
      </c>
      <c r="J188">
        <f t="shared" si="88"/>
        <v>-499.6954135095479</v>
      </c>
      <c r="K188">
        <f t="shared" si="89"/>
        <v>17.449748351250349</v>
      </c>
      <c r="M188">
        <v>178</v>
      </c>
      <c r="N188">
        <f t="shared" si="90"/>
        <v>-574.64972553598011</v>
      </c>
      <c r="O188">
        <f t="shared" si="91"/>
        <v>20.067210603937902</v>
      </c>
      <c r="Q188">
        <f t="shared" si="92"/>
        <v>10.46984901075021</v>
      </c>
      <c r="R188">
        <f t="shared" si="93"/>
        <v>-299.81724810572871</v>
      </c>
      <c r="S188">
        <f t="shared" si="86"/>
        <v>-137.53015098924979</v>
      </c>
      <c r="T188">
        <f t="shared" si="87"/>
        <v>-299.81724810572871</v>
      </c>
      <c r="V188">
        <f t="shared" si="94"/>
        <v>10.46984901075021</v>
      </c>
      <c r="W188">
        <f t="shared" si="95"/>
        <v>-299.81724810572871</v>
      </c>
      <c r="X188">
        <f t="shared" si="96"/>
        <v>-137.53015098924979</v>
      </c>
      <c r="Y188">
        <f t="shared" si="97"/>
        <v>-299.81724810572871</v>
      </c>
      <c r="AA188">
        <v>178</v>
      </c>
      <c r="AB188">
        <f t="shared" si="98"/>
        <v>-449.72587215859312</v>
      </c>
      <c r="AC188">
        <f t="shared" si="99"/>
        <v>15.704773516125314</v>
      </c>
      <c r="AD188">
        <v>178</v>
      </c>
      <c r="AE188">
        <f t="shared" si="100"/>
        <v>-649.60403756241226</v>
      </c>
      <c r="AF188">
        <f t="shared" si="101"/>
        <v>22.684672856625454</v>
      </c>
      <c r="AV188">
        <v>178</v>
      </c>
      <c r="AW188">
        <f t="shared" si="102"/>
        <v>-699.57357891336699</v>
      </c>
      <c r="AX188">
        <f t="shared" si="103"/>
        <v>24.429647691750489</v>
      </c>
      <c r="AZ188">
        <f t="shared" si="105"/>
        <v>494.97474683058329</v>
      </c>
      <c r="BA188">
        <f t="shared" si="104"/>
        <v>494.97474683058323</v>
      </c>
      <c r="BC188">
        <f>AZ189</f>
        <v>494.97474683058329</v>
      </c>
      <c r="BD188">
        <f>BA189</f>
        <v>494.97474683058323</v>
      </c>
    </row>
    <row r="189" spans="9:56" x14ac:dyDescent="0.25">
      <c r="I189">
        <v>179</v>
      </c>
      <c r="J189">
        <f t="shared" si="88"/>
        <v>-499.92384757819565</v>
      </c>
      <c r="K189">
        <f t="shared" si="89"/>
        <v>8.7262032186417198</v>
      </c>
      <c r="M189">
        <v>179</v>
      </c>
      <c r="N189">
        <f t="shared" si="90"/>
        <v>-574.91242471492501</v>
      </c>
      <c r="O189">
        <f t="shared" si="91"/>
        <v>10.035133701437978</v>
      </c>
      <c r="Q189">
        <f t="shared" si="92"/>
        <v>5.235721931185032</v>
      </c>
      <c r="R189">
        <f t="shared" si="93"/>
        <v>-299.95430854691739</v>
      </c>
      <c r="S189">
        <f t="shared" si="86"/>
        <v>-142.76427806881497</v>
      </c>
      <c r="T189">
        <f t="shared" si="87"/>
        <v>-299.95430854691739</v>
      </c>
      <c r="V189">
        <f t="shared" si="94"/>
        <v>5.235721931185032</v>
      </c>
      <c r="W189">
        <f t="shared" si="95"/>
        <v>-299.95430854691739</v>
      </c>
      <c r="X189">
        <f t="shared" si="96"/>
        <v>-142.76427806881497</v>
      </c>
      <c r="Y189">
        <f t="shared" si="97"/>
        <v>-299.95430854691739</v>
      </c>
      <c r="AA189">
        <v>179</v>
      </c>
      <c r="AB189">
        <f t="shared" si="98"/>
        <v>-449.93146282037605</v>
      </c>
      <c r="AC189">
        <f t="shared" si="99"/>
        <v>7.8535828967775476</v>
      </c>
      <c r="AD189">
        <v>179</v>
      </c>
      <c r="AE189">
        <f t="shared" si="100"/>
        <v>-649.90100185165431</v>
      </c>
      <c r="AF189">
        <f t="shared" si="101"/>
        <v>11.344064184234234</v>
      </c>
      <c r="AV189">
        <v>179</v>
      </c>
      <c r="AW189">
        <f t="shared" si="102"/>
        <v>-699.89338660947385</v>
      </c>
      <c r="AX189">
        <f t="shared" si="103"/>
        <v>12.216684506098407</v>
      </c>
      <c r="AZ189">
        <f>IF(AV189&lt;$BE$7,AW189,VLOOKUP($BE$7,$AV$11:$AX$370,2,0))</f>
        <v>494.97474683058329</v>
      </c>
      <c r="BA189">
        <f>IF(AV189&lt;$BE$7,AX189,VLOOKUP($BE$7,$AV$11:$AX$370,3,0))</f>
        <v>494.97474683058323</v>
      </c>
      <c r="BC189">
        <f>COS(BE7*PI()/180)*BC186</f>
        <v>569.22095885517069</v>
      </c>
      <c r="BD189">
        <f>SIN(BE7*PI()/180)*BC186</f>
        <v>569.22095885517058</v>
      </c>
    </row>
    <row r="190" spans="9:56" x14ac:dyDescent="0.25">
      <c r="I190">
        <v>180</v>
      </c>
      <c r="J190">
        <f t="shared" si="88"/>
        <v>-500</v>
      </c>
      <c r="K190">
        <f t="shared" si="89"/>
        <v>6.1257422745431001E-14</v>
      </c>
      <c r="M190">
        <v>180</v>
      </c>
      <c r="N190">
        <f t="shared" si="90"/>
        <v>-575</v>
      </c>
      <c r="O190">
        <f t="shared" si="91"/>
        <v>7.0446036157245651E-14</v>
      </c>
      <c r="Q190">
        <f t="shared" si="92"/>
        <v>3.67544536472586E-14</v>
      </c>
      <c r="R190">
        <f t="shared" si="93"/>
        <v>-300</v>
      </c>
      <c r="S190">
        <f t="shared" si="86"/>
        <v>-147.99999999999997</v>
      </c>
      <c r="T190">
        <f t="shared" si="87"/>
        <v>-300</v>
      </c>
      <c r="V190">
        <f t="shared" si="94"/>
        <v>3.67544536472586E-14</v>
      </c>
      <c r="W190">
        <f t="shared" si="95"/>
        <v>-300</v>
      </c>
      <c r="X190">
        <f t="shared" si="96"/>
        <v>-147.99999999999997</v>
      </c>
      <c r="Y190">
        <f t="shared" si="97"/>
        <v>-300</v>
      </c>
      <c r="AA190">
        <v>180</v>
      </c>
      <c r="AB190">
        <f t="shared" si="98"/>
        <v>-450</v>
      </c>
      <c r="AC190">
        <f t="shared" si="99"/>
        <v>5.51316804708879E-14</v>
      </c>
      <c r="AD190">
        <v>180</v>
      </c>
      <c r="AE190">
        <f t="shared" si="100"/>
        <v>-650</v>
      </c>
      <c r="AF190">
        <f t="shared" si="101"/>
        <v>7.9634649569060301E-14</v>
      </c>
      <c r="AV190">
        <v>180</v>
      </c>
      <c r="AW190">
        <f t="shared" si="102"/>
        <v>-700</v>
      </c>
      <c r="AX190">
        <f t="shared" si="103"/>
        <v>8.5760391843603401E-14</v>
      </c>
    </row>
    <row r="191" spans="9:56" x14ac:dyDescent="0.25">
      <c r="I191">
        <v>181</v>
      </c>
      <c r="J191">
        <f t="shared" si="88"/>
        <v>-499.92384757819565</v>
      </c>
      <c r="K191">
        <f t="shared" si="89"/>
        <v>-8.7262032186415954</v>
      </c>
      <c r="M191">
        <v>181</v>
      </c>
      <c r="N191">
        <f t="shared" si="90"/>
        <v>-574.91242471492501</v>
      </c>
      <c r="O191">
        <f t="shared" si="91"/>
        <v>-10.035133701437836</v>
      </c>
      <c r="Q191">
        <f t="shared" si="92"/>
        <v>-5.2357219311849574</v>
      </c>
      <c r="R191">
        <f t="shared" si="93"/>
        <v>-299.95430854691739</v>
      </c>
      <c r="S191">
        <f t="shared" si="86"/>
        <v>-153.23572193118497</v>
      </c>
      <c r="T191">
        <f t="shared" si="87"/>
        <v>-299.95430854691739</v>
      </c>
      <c r="V191">
        <f t="shared" si="94"/>
        <v>-5.2357219311849574</v>
      </c>
      <c r="W191">
        <f t="shared" si="95"/>
        <v>-299.95430854691739</v>
      </c>
      <c r="X191">
        <f t="shared" si="96"/>
        <v>-153.23572193118497</v>
      </c>
      <c r="Y191">
        <f t="shared" si="97"/>
        <v>-299.95430854691739</v>
      </c>
      <c r="AA191">
        <v>181</v>
      </c>
      <c r="AB191">
        <f t="shared" si="98"/>
        <v>-449.93146282037605</v>
      </c>
      <c r="AC191">
        <f t="shared" si="99"/>
        <v>-7.8535828967774366</v>
      </c>
      <c r="AD191">
        <v>181</v>
      </c>
      <c r="AE191">
        <f t="shared" si="100"/>
        <v>-649.90100185165431</v>
      </c>
      <c r="AF191">
        <f t="shared" si="101"/>
        <v>-11.344064184234075</v>
      </c>
      <c r="AV191">
        <v>181</v>
      </c>
      <c r="AW191">
        <f t="shared" si="102"/>
        <v>-699.89338660947385</v>
      </c>
      <c r="AX191">
        <f t="shared" si="103"/>
        <v>-12.216684506098234</v>
      </c>
      <c r="AZ191">
        <f>IF(AV191&gt;$BF$7,AW191,VLOOKUP($BF$7,$AV$11:$AX$370,2,0))</f>
        <v>494.97474683058317</v>
      </c>
      <c r="BA191">
        <f>IF(AV191&gt;$BF$7,AX191,VLOOKUP($BF$7,$AV$11:$AX$370,3,0))</f>
        <v>-494.9747468305834</v>
      </c>
      <c r="BC191">
        <f>AZ191</f>
        <v>494.97474683058317</v>
      </c>
      <c r="BD191">
        <f>BA191</f>
        <v>-494.9747468305834</v>
      </c>
    </row>
    <row r="192" spans="9:56" x14ac:dyDescent="0.25">
      <c r="I192">
        <v>182</v>
      </c>
      <c r="J192">
        <f t="shared" si="88"/>
        <v>-499.6954135095479</v>
      </c>
      <c r="K192">
        <f t="shared" si="89"/>
        <v>-17.449748351250449</v>
      </c>
      <c r="M192">
        <v>182</v>
      </c>
      <c r="N192">
        <f t="shared" si="90"/>
        <v>-574.64972553598011</v>
      </c>
      <c r="O192">
        <f t="shared" si="91"/>
        <v>-20.067210603938019</v>
      </c>
      <c r="Q192">
        <f t="shared" si="92"/>
        <v>-10.46984901075027</v>
      </c>
      <c r="R192">
        <f t="shared" si="93"/>
        <v>-299.81724810572871</v>
      </c>
      <c r="S192">
        <f t="shared" si="86"/>
        <v>-158.46984901075027</v>
      </c>
      <c r="T192">
        <f t="shared" si="87"/>
        <v>-299.81724810572871</v>
      </c>
      <c r="V192">
        <f t="shared" si="94"/>
        <v>-10.46984901075027</v>
      </c>
      <c r="W192">
        <f t="shared" si="95"/>
        <v>-299.81724810572871</v>
      </c>
      <c r="X192">
        <f t="shared" si="96"/>
        <v>-158.46984901075027</v>
      </c>
      <c r="Y192">
        <f t="shared" si="97"/>
        <v>-299.81724810572871</v>
      </c>
      <c r="AA192">
        <v>182</v>
      </c>
      <c r="AB192">
        <f t="shared" si="98"/>
        <v>-449.72587215859312</v>
      </c>
      <c r="AC192">
        <f t="shared" si="99"/>
        <v>-15.704773516125405</v>
      </c>
      <c r="AD192">
        <v>182</v>
      </c>
      <c r="AE192">
        <f t="shared" si="100"/>
        <v>-649.60403756241226</v>
      </c>
      <c r="AF192">
        <f t="shared" si="101"/>
        <v>-22.684672856625586</v>
      </c>
      <c r="AV192">
        <v>182</v>
      </c>
      <c r="AW192">
        <f t="shared" si="102"/>
        <v>-699.57357891336699</v>
      </c>
      <c r="AX192">
        <f t="shared" si="103"/>
        <v>-24.429647691750631</v>
      </c>
      <c r="AZ192">
        <f t="shared" ref="AZ192:AZ254" si="106">IF(AV192&gt;$BF$7,AW192,VLOOKUP($BF$7,$AV$11:$AX$370,2,0))</f>
        <v>494.97474683058317</v>
      </c>
      <c r="BA192">
        <f t="shared" ref="BA192:BA255" si="107">IF(AV192&gt;$BF$7,AX192,VLOOKUP($BF$7,$AV$11:$AX$370,3,0))</f>
        <v>-494.9747468305834</v>
      </c>
      <c r="BC192">
        <f>COS(BF7*PI()/180)*BC186</f>
        <v>569.22095885517058</v>
      </c>
      <c r="BD192">
        <f>SIN(BF7*PI()/180)*BC186</f>
        <v>-569.22095885517081</v>
      </c>
    </row>
    <row r="193" spans="9:53" x14ac:dyDescent="0.25">
      <c r="I193">
        <v>183</v>
      </c>
      <c r="J193">
        <f t="shared" si="88"/>
        <v>-499.3147673772869</v>
      </c>
      <c r="K193">
        <f t="shared" si="89"/>
        <v>-26.16797812147178</v>
      </c>
      <c r="M193">
        <v>183</v>
      </c>
      <c r="N193">
        <f t="shared" si="90"/>
        <v>-574.21198248387998</v>
      </c>
      <c r="O193">
        <f t="shared" si="91"/>
        <v>-30.093174839692544</v>
      </c>
      <c r="Q193">
        <f t="shared" si="92"/>
        <v>-15.700786872883068</v>
      </c>
      <c r="R193">
        <f t="shared" si="93"/>
        <v>-299.58886042637215</v>
      </c>
      <c r="S193">
        <f t="shared" si="86"/>
        <v>-163.70078687288307</v>
      </c>
      <c r="T193">
        <f t="shared" si="87"/>
        <v>-299.58886042637215</v>
      </c>
      <c r="V193">
        <f t="shared" si="94"/>
        <v>-15.700786872883068</v>
      </c>
      <c r="W193">
        <f t="shared" si="95"/>
        <v>-299.58886042637215</v>
      </c>
      <c r="X193">
        <f t="shared" si="96"/>
        <v>-163.70078687288307</v>
      </c>
      <c r="Y193">
        <f t="shared" si="97"/>
        <v>-299.58886042637215</v>
      </c>
      <c r="AA193">
        <v>183</v>
      </c>
      <c r="AB193">
        <f t="shared" si="98"/>
        <v>-449.3832906395582</v>
      </c>
      <c r="AC193">
        <f t="shared" si="99"/>
        <v>-23.5511803093246</v>
      </c>
      <c r="AD193">
        <v>183</v>
      </c>
      <c r="AE193">
        <f t="shared" si="100"/>
        <v>-649.10919759047295</v>
      </c>
      <c r="AF193">
        <f t="shared" si="101"/>
        <v>-34.018371557913312</v>
      </c>
      <c r="AV193">
        <v>183</v>
      </c>
      <c r="AW193">
        <f t="shared" si="102"/>
        <v>-699.0406743282017</v>
      </c>
      <c r="AX193">
        <f t="shared" si="103"/>
        <v>-36.635169370060488</v>
      </c>
      <c r="AZ193">
        <f t="shared" si="106"/>
        <v>494.97474683058317</v>
      </c>
      <c r="BA193">
        <f t="shared" si="107"/>
        <v>-494.9747468305834</v>
      </c>
    </row>
    <row r="194" spans="9:53" x14ac:dyDescent="0.25">
      <c r="I194">
        <v>184</v>
      </c>
      <c r="J194">
        <f t="shared" si="88"/>
        <v>-498.78202512991214</v>
      </c>
      <c r="K194">
        <f t="shared" si="89"/>
        <v>-34.878236872062416</v>
      </c>
      <c r="M194">
        <v>184</v>
      </c>
      <c r="N194">
        <f t="shared" si="90"/>
        <v>-573.59932889939898</v>
      </c>
      <c r="O194">
        <f t="shared" si="91"/>
        <v>-40.109972402871776</v>
      </c>
      <c r="Q194">
        <f t="shared" si="92"/>
        <v>-20.926942123237449</v>
      </c>
      <c r="R194">
        <f t="shared" si="93"/>
        <v>-299.26921507794731</v>
      </c>
      <c r="S194">
        <f t="shared" si="86"/>
        <v>-168.92694212323744</v>
      </c>
      <c r="T194">
        <f t="shared" si="87"/>
        <v>-299.26921507794731</v>
      </c>
      <c r="V194">
        <f t="shared" si="94"/>
        <v>-20.926942123237449</v>
      </c>
      <c r="W194">
        <f t="shared" si="95"/>
        <v>-299.26921507794731</v>
      </c>
      <c r="X194">
        <f t="shared" si="96"/>
        <v>-168.92694212323744</v>
      </c>
      <c r="Y194">
        <f t="shared" si="97"/>
        <v>-299.26921507794731</v>
      </c>
      <c r="AA194">
        <v>184</v>
      </c>
      <c r="AB194">
        <f t="shared" si="98"/>
        <v>-448.90382261692093</v>
      </c>
      <c r="AC194">
        <f t="shared" si="99"/>
        <v>-31.390413184856175</v>
      </c>
      <c r="AD194">
        <v>184</v>
      </c>
      <c r="AE194">
        <f t="shared" si="100"/>
        <v>-648.41663266888577</v>
      </c>
      <c r="AF194">
        <f t="shared" si="101"/>
        <v>-45.341707933681143</v>
      </c>
      <c r="AV194">
        <v>184</v>
      </c>
      <c r="AW194">
        <f t="shared" si="102"/>
        <v>-698.29483518187703</v>
      </c>
      <c r="AX194">
        <f t="shared" si="103"/>
        <v>-48.82953162088738</v>
      </c>
      <c r="AZ194">
        <f t="shared" si="106"/>
        <v>494.97474683058317</v>
      </c>
      <c r="BA194">
        <f t="shared" si="107"/>
        <v>-494.9747468305834</v>
      </c>
    </row>
    <row r="195" spans="9:53" x14ac:dyDescent="0.25">
      <c r="I195">
        <v>185</v>
      </c>
      <c r="J195">
        <f t="shared" si="88"/>
        <v>-498.09734904587276</v>
      </c>
      <c r="K195">
        <f t="shared" si="89"/>
        <v>-43.57787137382897</v>
      </c>
      <c r="M195">
        <v>185</v>
      </c>
      <c r="N195">
        <f t="shared" si="90"/>
        <v>-572.81195140275372</v>
      </c>
      <c r="O195">
        <f t="shared" si="91"/>
        <v>-50.114552079903319</v>
      </c>
      <c r="Q195">
        <f t="shared" si="92"/>
        <v>-26.146722824297385</v>
      </c>
      <c r="R195">
        <f t="shared" si="93"/>
        <v>-298.85840942752367</v>
      </c>
      <c r="S195">
        <f t="shared" si="86"/>
        <v>-174.1467228242974</v>
      </c>
      <c r="T195">
        <f t="shared" si="87"/>
        <v>-298.85840942752367</v>
      </c>
      <c r="V195">
        <f t="shared" si="94"/>
        <v>-26.146722824297385</v>
      </c>
      <c r="W195">
        <f t="shared" si="95"/>
        <v>-298.85840942752367</v>
      </c>
      <c r="X195">
        <f t="shared" si="96"/>
        <v>-174.1467228242974</v>
      </c>
      <c r="Y195">
        <f t="shared" si="97"/>
        <v>-298.85840942752367</v>
      </c>
      <c r="AA195">
        <v>185</v>
      </c>
      <c r="AB195">
        <f t="shared" si="98"/>
        <v>-448.28761414128547</v>
      </c>
      <c r="AC195">
        <f t="shared" si="99"/>
        <v>-39.220084236446077</v>
      </c>
      <c r="AD195">
        <v>185</v>
      </c>
      <c r="AE195">
        <f t="shared" si="100"/>
        <v>-647.52655375963457</v>
      </c>
      <c r="AF195">
        <f t="shared" si="101"/>
        <v>-56.651232785977662</v>
      </c>
      <c r="AV195">
        <v>185</v>
      </c>
      <c r="AW195">
        <f t="shared" si="102"/>
        <v>-697.33628866422191</v>
      </c>
      <c r="AX195">
        <f t="shared" si="103"/>
        <v>-61.009019923360562</v>
      </c>
      <c r="AZ195">
        <f t="shared" si="106"/>
        <v>494.97474683058317</v>
      </c>
      <c r="BA195">
        <f t="shared" si="107"/>
        <v>-494.9747468305834</v>
      </c>
    </row>
    <row r="196" spans="9:53" x14ac:dyDescent="0.25">
      <c r="I196">
        <v>186</v>
      </c>
      <c r="J196">
        <f t="shared" si="88"/>
        <v>-497.26094768413668</v>
      </c>
      <c r="K196">
        <f t="shared" si="89"/>
        <v>-52.264231633826526</v>
      </c>
      <c r="M196">
        <v>186</v>
      </c>
      <c r="N196">
        <f t="shared" si="90"/>
        <v>-571.85008983675721</v>
      </c>
      <c r="O196">
        <f t="shared" si="91"/>
        <v>-60.103866378900506</v>
      </c>
      <c r="Q196">
        <f t="shared" si="92"/>
        <v>-31.358538980295915</v>
      </c>
      <c r="R196">
        <f t="shared" si="93"/>
        <v>-298.35656861048204</v>
      </c>
      <c r="S196">
        <f t="shared" si="86"/>
        <v>-179.35853898029592</v>
      </c>
      <c r="T196">
        <f t="shared" si="87"/>
        <v>-298.35656861048204</v>
      </c>
      <c r="V196">
        <f t="shared" si="94"/>
        <v>-31.358538980295915</v>
      </c>
      <c r="W196">
        <f t="shared" si="95"/>
        <v>-298.35656861048204</v>
      </c>
      <c r="X196">
        <f t="shared" si="96"/>
        <v>-179.35853898029592</v>
      </c>
      <c r="Y196">
        <f t="shared" si="97"/>
        <v>-298.35656861048204</v>
      </c>
      <c r="AA196">
        <v>186</v>
      </c>
      <c r="AB196">
        <f t="shared" si="98"/>
        <v>-447.53485291572304</v>
      </c>
      <c r="AC196">
        <f t="shared" si="99"/>
        <v>-47.037808470443878</v>
      </c>
      <c r="AD196">
        <v>186</v>
      </c>
      <c r="AE196">
        <f t="shared" si="100"/>
        <v>-646.43923198937773</v>
      </c>
      <c r="AF196">
        <f t="shared" si="101"/>
        <v>-67.943501123974485</v>
      </c>
      <c r="AV196">
        <v>186</v>
      </c>
      <c r="AW196">
        <f t="shared" si="102"/>
        <v>-696.16532675779138</v>
      </c>
      <c r="AX196">
        <f t="shared" si="103"/>
        <v>-73.169924287357134</v>
      </c>
      <c r="AZ196">
        <f t="shared" si="106"/>
        <v>494.97474683058317</v>
      </c>
      <c r="BA196">
        <f t="shared" si="107"/>
        <v>-494.9747468305834</v>
      </c>
    </row>
    <row r="197" spans="9:53" x14ac:dyDescent="0.25">
      <c r="I197">
        <v>187</v>
      </c>
      <c r="J197">
        <f t="shared" si="88"/>
        <v>-496.27307582066101</v>
      </c>
      <c r="K197">
        <f t="shared" si="89"/>
        <v>-60.934671702573873</v>
      </c>
      <c r="M197">
        <v>187</v>
      </c>
      <c r="N197">
        <f t="shared" si="90"/>
        <v>-570.71403719376019</v>
      </c>
      <c r="O197">
        <f t="shared" si="91"/>
        <v>-70.074872457959955</v>
      </c>
      <c r="Q197">
        <f t="shared" si="92"/>
        <v>-36.560803021544324</v>
      </c>
      <c r="R197">
        <f t="shared" si="93"/>
        <v>-297.76384549239657</v>
      </c>
      <c r="S197">
        <f t="shared" si="86"/>
        <v>-184.56080302154433</v>
      </c>
      <c r="T197">
        <f t="shared" si="87"/>
        <v>-297.76384549239657</v>
      </c>
      <c r="V197">
        <f t="shared" si="94"/>
        <v>-36.560803021544324</v>
      </c>
      <c r="W197">
        <f t="shared" si="95"/>
        <v>-297.76384549239657</v>
      </c>
      <c r="X197">
        <f t="shared" si="96"/>
        <v>-184.56080302154433</v>
      </c>
      <c r="Y197">
        <f t="shared" si="97"/>
        <v>-297.76384549239657</v>
      </c>
      <c r="AA197">
        <v>187</v>
      </c>
      <c r="AB197">
        <f t="shared" si="98"/>
        <v>-446.64576823859488</v>
      </c>
      <c r="AC197">
        <f t="shared" si="99"/>
        <v>-54.841204532316482</v>
      </c>
      <c r="AD197">
        <v>187</v>
      </c>
      <c r="AE197">
        <f t="shared" si="100"/>
        <v>-645.15499856685926</v>
      </c>
      <c r="AF197">
        <f t="shared" si="101"/>
        <v>-79.215073213346031</v>
      </c>
      <c r="AV197">
        <v>187</v>
      </c>
      <c r="AW197">
        <f t="shared" si="102"/>
        <v>-694.78230614892539</v>
      </c>
      <c r="AX197">
        <f t="shared" si="103"/>
        <v>-85.308540383603415</v>
      </c>
      <c r="AZ197">
        <f t="shared" si="106"/>
        <v>494.97474683058317</v>
      </c>
      <c r="BA197">
        <f t="shared" si="107"/>
        <v>-494.9747468305834</v>
      </c>
    </row>
    <row r="198" spans="9:53" x14ac:dyDescent="0.25">
      <c r="I198">
        <v>188</v>
      </c>
      <c r="J198">
        <f t="shared" si="88"/>
        <v>-495.13403437078512</v>
      </c>
      <c r="K198">
        <f t="shared" si="89"/>
        <v>-69.586550480032756</v>
      </c>
      <c r="M198">
        <v>188</v>
      </c>
      <c r="N198">
        <f t="shared" si="90"/>
        <v>-569.4041395264029</v>
      </c>
      <c r="O198">
        <f t="shared" si="91"/>
        <v>-80.024533052037668</v>
      </c>
      <c r="Q198">
        <f t="shared" si="92"/>
        <v>-41.751930288019658</v>
      </c>
      <c r="R198">
        <f t="shared" si="93"/>
        <v>-297.08042062247108</v>
      </c>
      <c r="S198">
        <f t="shared" si="86"/>
        <v>-189.75193028801965</v>
      </c>
      <c r="T198">
        <f t="shared" si="87"/>
        <v>-297.08042062247108</v>
      </c>
      <c r="V198">
        <f t="shared" si="94"/>
        <v>-41.751930288019658</v>
      </c>
      <c r="W198">
        <f t="shared" si="95"/>
        <v>-297.08042062247108</v>
      </c>
      <c r="X198">
        <f t="shared" si="96"/>
        <v>-189.75193028801965</v>
      </c>
      <c r="Y198">
        <f t="shared" si="97"/>
        <v>-297.08042062247108</v>
      </c>
      <c r="AA198">
        <v>188</v>
      </c>
      <c r="AB198">
        <f t="shared" si="98"/>
        <v>-445.62063093370659</v>
      </c>
      <c r="AC198">
        <f t="shared" si="99"/>
        <v>-62.627895432029483</v>
      </c>
      <c r="AD198">
        <v>188</v>
      </c>
      <c r="AE198">
        <f t="shared" si="100"/>
        <v>-643.67424468202069</v>
      </c>
      <c r="AF198">
        <f t="shared" si="101"/>
        <v>-90.462515624042595</v>
      </c>
      <c r="AV198">
        <v>188</v>
      </c>
      <c r="AW198">
        <f t="shared" si="102"/>
        <v>-693.18764811909921</v>
      </c>
      <c r="AX198">
        <f t="shared" si="103"/>
        <v>-97.421170672045861</v>
      </c>
      <c r="AZ198">
        <f t="shared" si="106"/>
        <v>494.97474683058317</v>
      </c>
      <c r="BA198">
        <f t="shared" si="107"/>
        <v>-494.9747468305834</v>
      </c>
    </row>
    <row r="199" spans="9:53" x14ac:dyDescent="0.25">
      <c r="I199">
        <v>189</v>
      </c>
      <c r="J199">
        <f t="shared" si="88"/>
        <v>-493.84417029756889</v>
      </c>
      <c r="K199">
        <f t="shared" si="89"/>
        <v>-78.21723252011536</v>
      </c>
      <c r="M199">
        <v>189</v>
      </c>
      <c r="N199">
        <f t="shared" si="90"/>
        <v>-567.92079584220426</v>
      </c>
      <c r="O199">
        <f t="shared" si="91"/>
        <v>-89.949817398132666</v>
      </c>
      <c r="Q199">
        <f t="shared" si="92"/>
        <v>-46.930339512069217</v>
      </c>
      <c r="R199">
        <f t="shared" si="93"/>
        <v>-296.30650217854134</v>
      </c>
      <c r="S199">
        <f t="shared" si="86"/>
        <v>-194.93033951206922</v>
      </c>
      <c r="T199">
        <f t="shared" si="87"/>
        <v>-296.30650217854134</v>
      </c>
      <c r="V199">
        <f t="shared" si="94"/>
        <v>-46.930339512069217</v>
      </c>
      <c r="W199">
        <f t="shared" si="95"/>
        <v>-296.30650217854134</v>
      </c>
      <c r="X199">
        <f t="shared" si="96"/>
        <v>-194.93033951206922</v>
      </c>
      <c r="Y199">
        <f t="shared" si="97"/>
        <v>-296.30650217854134</v>
      </c>
      <c r="AA199">
        <v>189</v>
      </c>
      <c r="AB199">
        <f t="shared" si="98"/>
        <v>-444.459753267812</v>
      </c>
      <c r="AC199">
        <f t="shared" si="99"/>
        <v>-70.395509268103822</v>
      </c>
      <c r="AD199">
        <v>189</v>
      </c>
      <c r="AE199">
        <f t="shared" si="100"/>
        <v>-641.99742138683951</v>
      </c>
      <c r="AF199">
        <f t="shared" si="101"/>
        <v>-101.68240227614997</v>
      </c>
      <c r="AV199">
        <v>189</v>
      </c>
      <c r="AW199">
        <f t="shared" si="102"/>
        <v>-691.38183841659645</v>
      </c>
      <c r="AX199">
        <f t="shared" si="103"/>
        <v>-109.50412552816151</v>
      </c>
      <c r="AZ199">
        <f t="shared" si="106"/>
        <v>494.97474683058317</v>
      </c>
      <c r="BA199">
        <f t="shared" si="107"/>
        <v>-494.9747468305834</v>
      </c>
    </row>
    <row r="200" spans="9:53" x14ac:dyDescent="0.25">
      <c r="I200">
        <v>190</v>
      </c>
      <c r="J200">
        <f t="shared" si="88"/>
        <v>-492.40387650610398</v>
      </c>
      <c r="K200">
        <f t="shared" si="89"/>
        <v>-86.82408883346524</v>
      </c>
      <c r="M200">
        <v>190</v>
      </c>
      <c r="N200">
        <f t="shared" si="90"/>
        <v>-566.26445798201962</v>
      </c>
      <c r="O200">
        <f t="shared" si="91"/>
        <v>-99.847702158485021</v>
      </c>
      <c r="Q200">
        <f t="shared" si="92"/>
        <v>-52.094453300079138</v>
      </c>
      <c r="R200">
        <f t="shared" si="93"/>
        <v>-295.44232590366238</v>
      </c>
      <c r="S200">
        <f t="shared" si="86"/>
        <v>-200.09445330007912</v>
      </c>
      <c r="T200">
        <f t="shared" si="87"/>
        <v>-295.44232590366238</v>
      </c>
      <c r="V200">
        <f t="shared" si="94"/>
        <v>-52.094453300079138</v>
      </c>
      <c r="W200">
        <f t="shared" si="95"/>
        <v>-295.44232590366238</v>
      </c>
      <c r="X200">
        <f t="shared" si="96"/>
        <v>-200.09445330007912</v>
      </c>
      <c r="Y200">
        <f t="shared" si="97"/>
        <v>-295.44232590366238</v>
      </c>
      <c r="AA200">
        <v>190</v>
      </c>
      <c r="AB200">
        <f t="shared" si="98"/>
        <v>-443.1634888554936</v>
      </c>
      <c r="AC200">
        <f t="shared" si="99"/>
        <v>-78.141679950118714</v>
      </c>
      <c r="AD200">
        <v>190</v>
      </c>
      <c r="AE200">
        <f t="shared" si="100"/>
        <v>-640.12503945793526</v>
      </c>
      <c r="AF200">
        <f t="shared" si="101"/>
        <v>-112.8713154835048</v>
      </c>
      <c r="AV200">
        <v>190</v>
      </c>
      <c r="AW200">
        <f t="shared" si="102"/>
        <v>-689.36542710854565</v>
      </c>
      <c r="AX200">
        <f t="shared" si="103"/>
        <v>-121.55372436685133</v>
      </c>
      <c r="AZ200">
        <f t="shared" si="106"/>
        <v>494.97474683058317</v>
      </c>
      <c r="BA200">
        <f t="shared" si="107"/>
        <v>-494.9747468305834</v>
      </c>
    </row>
    <row r="201" spans="9:53" x14ac:dyDescent="0.25">
      <c r="I201">
        <v>191</v>
      </c>
      <c r="J201">
        <f t="shared" si="88"/>
        <v>-490.81359172383196</v>
      </c>
      <c r="K201">
        <f t="shared" si="89"/>
        <v>-95.404497688272357</v>
      </c>
      <c r="M201">
        <v>191</v>
      </c>
      <c r="N201">
        <f t="shared" si="90"/>
        <v>-564.43563048240674</v>
      </c>
      <c r="O201">
        <f t="shared" si="91"/>
        <v>-109.71517234151321</v>
      </c>
      <c r="Q201">
        <f t="shared" si="92"/>
        <v>-57.242698612963416</v>
      </c>
      <c r="R201">
        <f t="shared" si="93"/>
        <v>-294.48815503429921</v>
      </c>
      <c r="S201">
        <f t="shared" si="86"/>
        <v>-205.24269861296341</v>
      </c>
      <c r="T201">
        <f t="shared" si="87"/>
        <v>-294.48815503429921</v>
      </c>
      <c r="V201">
        <f t="shared" si="94"/>
        <v>-57.242698612963416</v>
      </c>
      <c r="W201">
        <f t="shared" si="95"/>
        <v>-294.48815503429921</v>
      </c>
      <c r="X201">
        <f t="shared" si="96"/>
        <v>-205.24269861296341</v>
      </c>
      <c r="Y201">
        <f t="shared" si="97"/>
        <v>-294.48815503429921</v>
      </c>
      <c r="AA201">
        <v>191</v>
      </c>
      <c r="AB201">
        <f t="shared" si="98"/>
        <v>-441.73223255144882</v>
      </c>
      <c r="AC201">
        <f t="shared" si="99"/>
        <v>-85.864047919445127</v>
      </c>
      <c r="AD201">
        <v>191</v>
      </c>
      <c r="AE201">
        <f t="shared" si="100"/>
        <v>-638.05766924098157</v>
      </c>
      <c r="AF201">
        <f t="shared" si="101"/>
        <v>-124.02584699475406</v>
      </c>
      <c r="AV201">
        <v>191</v>
      </c>
      <c r="AW201">
        <f t="shared" si="102"/>
        <v>-687.13902841336483</v>
      </c>
      <c r="AX201">
        <f t="shared" si="103"/>
        <v>-133.56629676358131</v>
      </c>
      <c r="AZ201">
        <f t="shared" si="106"/>
        <v>494.97474683058317</v>
      </c>
      <c r="BA201">
        <f t="shared" si="107"/>
        <v>-494.9747468305834</v>
      </c>
    </row>
    <row r="202" spans="9:53" x14ac:dyDescent="0.25">
      <c r="I202">
        <v>192</v>
      </c>
      <c r="J202">
        <f t="shared" si="88"/>
        <v>-489.07380036690284</v>
      </c>
      <c r="K202">
        <f t="shared" si="89"/>
        <v>-103.95584540887953</v>
      </c>
      <c r="M202">
        <v>192</v>
      </c>
      <c r="N202">
        <f t="shared" si="90"/>
        <v>-562.43487042193829</v>
      </c>
      <c r="O202">
        <f t="shared" si="91"/>
        <v>-119.54922222021146</v>
      </c>
      <c r="Q202">
        <f t="shared" si="92"/>
        <v>-62.373507245327723</v>
      </c>
      <c r="R202">
        <f t="shared" si="93"/>
        <v>-293.44428022014171</v>
      </c>
      <c r="S202">
        <f t="shared" si="86"/>
        <v>-210.37350724532772</v>
      </c>
      <c r="T202">
        <f t="shared" si="87"/>
        <v>-293.44428022014171</v>
      </c>
      <c r="V202">
        <f t="shared" si="94"/>
        <v>-62.373507245327723</v>
      </c>
      <c r="W202">
        <f t="shared" si="95"/>
        <v>-293.44428022014171</v>
      </c>
      <c r="X202">
        <f t="shared" si="96"/>
        <v>-210.37350724532772</v>
      </c>
      <c r="Y202">
        <f t="shared" si="97"/>
        <v>-293.44428022014171</v>
      </c>
      <c r="AA202">
        <v>192</v>
      </c>
      <c r="AB202">
        <f t="shared" si="98"/>
        <v>-440.16642033021253</v>
      </c>
      <c r="AC202">
        <f t="shared" si="99"/>
        <v>-93.560260867991573</v>
      </c>
      <c r="AD202">
        <v>192</v>
      </c>
      <c r="AE202">
        <f t="shared" si="100"/>
        <v>-635.79594047697367</v>
      </c>
      <c r="AF202">
        <f t="shared" si="101"/>
        <v>-135.1425990315434</v>
      </c>
      <c r="AV202">
        <v>192</v>
      </c>
      <c r="AW202">
        <f t="shared" si="102"/>
        <v>-684.70332051366404</v>
      </c>
      <c r="AX202">
        <f t="shared" si="103"/>
        <v>-145.53818357243134</v>
      </c>
      <c r="AZ202">
        <f t="shared" si="106"/>
        <v>494.97474683058317</v>
      </c>
      <c r="BA202">
        <f t="shared" si="107"/>
        <v>-494.9747468305834</v>
      </c>
    </row>
    <row r="203" spans="9:53" x14ac:dyDescent="0.25">
      <c r="I203">
        <v>193</v>
      </c>
      <c r="J203">
        <f t="shared" si="88"/>
        <v>-487.18503239261764</v>
      </c>
      <c r="K203">
        <f t="shared" si="89"/>
        <v>-112.47552717193248</v>
      </c>
      <c r="M203">
        <v>193</v>
      </c>
      <c r="N203">
        <f t="shared" si="90"/>
        <v>-560.2627872515103</v>
      </c>
      <c r="O203">
        <f t="shared" si="91"/>
        <v>-129.34685624772237</v>
      </c>
      <c r="Q203">
        <f t="shared" si="92"/>
        <v>-67.485316303159493</v>
      </c>
      <c r="R203">
        <f t="shared" si="93"/>
        <v>-292.31101943557059</v>
      </c>
      <c r="S203">
        <f t="shared" ref="S203:S266" si="108">Q203+$T$7</f>
        <v>-215.48531630315949</v>
      </c>
      <c r="T203">
        <f t="shared" ref="T203:T266" si="109">R203+$T$8</f>
        <v>-292.31101943557059</v>
      </c>
      <c r="V203">
        <f t="shared" si="94"/>
        <v>-67.485316303159493</v>
      </c>
      <c r="W203">
        <f t="shared" si="95"/>
        <v>-292.31101943557059</v>
      </c>
      <c r="X203">
        <f t="shared" si="96"/>
        <v>-215.48531630315949</v>
      </c>
      <c r="Y203">
        <f t="shared" si="97"/>
        <v>-292.31101943557059</v>
      </c>
      <c r="AA203">
        <v>193</v>
      </c>
      <c r="AB203">
        <f t="shared" si="98"/>
        <v>-438.46652915335585</v>
      </c>
      <c r="AC203">
        <f t="shared" si="99"/>
        <v>-101.22797445473924</v>
      </c>
      <c r="AD203">
        <v>193</v>
      </c>
      <c r="AE203">
        <f t="shared" si="100"/>
        <v>-633.34054211040291</v>
      </c>
      <c r="AF203">
        <f t="shared" si="101"/>
        <v>-146.21818532351224</v>
      </c>
      <c r="AV203">
        <v>193</v>
      </c>
      <c r="AW203">
        <f t="shared" si="102"/>
        <v>-682.05904534966464</v>
      </c>
      <c r="AX203">
        <f t="shared" si="103"/>
        <v>-157.46573804070547</v>
      </c>
      <c r="AZ203">
        <f t="shared" si="106"/>
        <v>494.97474683058317</v>
      </c>
      <c r="BA203">
        <f t="shared" si="107"/>
        <v>-494.9747468305834</v>
      </c>
    </row>
    <row r="204" spans="9:53" x14ac:dyDescent="0.25">
      <c r="I204">
        <v>194</v>
      </c>
      <c r="J204">
        <f t="shared" ref="J204:J267" si="110">COS(I204*PI()/180)*$J$8</f>
        <v>-485.14786313799823</v>
      </c>
      <c r="K204">
        <f t="shared" ref="K204:K267" si="111">SIN(I204*PI()/180)*$J$8</f>
        <v>-120.96094779983376</v>
      </c>
      <c r="M204">
        <v>194</v>
      </c>
      <c r="N204">
        <f t="shared" ref="N204:N267" si="112">COS(M204*PI()/180)*$N$8</f>
        <v>-557.92004260869794</v>
      </c>
      <c r="O204">
        <f t="shared" ref="O204:O267" si="113">SIN(M204*PI()/180)*$N$8</f>
        <v>-139.10508996980883</v>
      </c>
      <c r="Q204">
        <f t="shared" ref="Q204:Q267" si="114">SIN(I204*PI()/180)*$Q$8</f>
        <v>-72.576568679900248</v>
      </c>
      <c r="R204">
        <f t="shared" ref="R204:R267" si="115">COS(I204*PI()/180)*$Q$8</f>
        <v>-291.08871788279896</v>
      </c>
      <c r="S204">
        <f t="shared" si="108"/>
        <v>-220.57656867990025</v>
      </c>
      <c r="T204">
        <f t="shared" si="109"/>
        <v>-291.08871788279896</v>
      </c>
      <c r="V204">
        <f t="shared" ref="V204:V267" si="116">SIN(I204*PI()/180)*$V$8</f>
        <v>-72.576568679900248</v>
      </c>
      <c r="W204">
        <f t="shared" ref="W204:W267" si="117">COS(I204*PI()/180)*$V$8</f>
        <v>-291.08871788279896</v>
      </c>
      <c r="X204">
        <f t="shared" ref="X204:X267" si="118">V204+$Y$7</f>
        <v>-220.57656867990025</v>
      </c>
      <c r="Y204">
        <f t="shared" ref="Y204:Y267" si="119">W204+$Y$8</f>
        <v>-291.08871788279896</v>
      </c>
      <c r="AA204">
        <v>194</v>
      </c>
      <c r="AB204">
        <f t="shared" ref="AB204:AB267" si="120">COS(AA204*PI()/180)*$AB$8</f>
        <v>-436.63307682419844</v>
      </c>
      <c r="AC204">
        <f t="shared" ref="AC204:AC267" si="121">SIN(AA204*PI()/180)*$AB$8</f>
        <v>-108.86485301985037</v>
      </c>
      <c r="AD204">
        <v>194</v>
      </c>
      <c r="AE204">
        <f t="shared" ref="AE204:AE267" si="122">COS(AD204*PI()/180)*$AE$8</f>
        <v>-630.69222207939765</v>
      </c>
      <c r="AF204">
        <f t="shared" ref="AF204:AF267" si="123">SIN(AD204*PI()/180)*$AE$8</f>
        <v>-157.24923213978389</v>
      </c>
      <c r="AV204">
        <v>194</v>
      </c>
      <c r="AW204">
        <f t="shared" ref="AW204:AW267" si="124">COS(AV204*PI()/180)*$AW$8</f>
        <v>-679.2070083931975</v>
      </c>
      <c r="AX204">
        <f t="shared" ref="AX204:AX267" si="125">SIN(AV204*PI()/180)*$AW$8</f>
        <v>-169.34532691976725</v>
      </c>
      <c r="AZ204">
        <f t="shared" si="106"/>
        <v>494.97474683058317</v>
      </c>
      <c r="BA204">
        <f t="shared" si="107"/>
        <v>-494.9747468305834</v>
      </c>
    </row>
    <row r="205" spans="9:53" x14ac:dyDescent="0.25">
      <c r="I205">
        <v>195</v>
      </c>
      <c r="J205">
        <f t="shared" si="110"/>
        <v>-482.96291314453418</v>
      </c>
      <c r="K205">
        <f t="shared" si="111"/>
        <v>-129.40952255126018</v>
      </c>
      <c r="M205">
        <v>195</v>
      </c>
      <c r="N205">
        <f t="shared" si="112"/>
        <v>-555.40735011621439</v>
      </c>
      <c r="O205">
        <f t="shared" si="113"/>
        <v>-148.82095093394921</v>
      </c>
      <c r="Q205">
        <f t="shared" si="114"/>
        <v>-77.645713530756112</v>
      </c>
      <c r="R205">
        <f t="shared" si="115"/>
        <v>-289.77774788672053</v>
      </c>
      <c r="S205">
        <f t="shared" si="108"/>
        <v>-225.6457135307561</v>
      </c>
      <c r="T205">
        <f t="shared" si="109"/>
        <v>-289.77774788672053</v>
      </c>
      <c r="V205">
        <f t="shared" si="116"/>
        <v>-77.645713530756112</v>
      </c>
      <c r="W205">
        <f t="shared" si="117"/>
        <v>-289.77774788672053</v>
      </c>
      <c r="X205">
        <f t="shared" si="118"/>
        <v>-225.6457135307561</v>
      </c>
      <c r="Y205">
        <f t="shared" si="119"/>
        <v>-289.77774788672053</v>
      </c>
      <c r="AA205">
        <v>195</v>
      </c>
      <c r="AB205">
        <f t="shared" si="120"/>
        <v>-434.66662183008077</v>
      </c>
      <c r="AC205">
        <f t="shared" si="121"/>
        <v>-116.46857029613416</v>
      </c>
      <c r="AD205">
        <v>195</v>
      </c>
      <c r="AE205">
        <f t="shared" si="122"/>
        <v>-627.85178708789442</v>
      </c>
      <c r="AF205">
        <f t="shared" si="123"/>
        <v>-168.23237931663823</v>
      </c>
      <c r="AV205">
        <v>195</v>
      </c>
      <c r="AW205">
        <f t="shared" si="124"/>
        <v>-676.14807840234789</v>
      </c>
      <c r="AX205">
        <f t="shared" si="125"/>
        <v>-181.17333157176424</v>
      </c>
      <c r="AZ205">
        <f t="shared" si="106"/>
        <v>494.97474683058317</v>
      </c>
      <c r="BA205">
        <f t="shared" si="107"/>
        <v>-494.9747468305834</v>
      </c>
    </row>
    <row r="206" spans="9:53" x14ac:dyDescent="0.25">
      <c r="I206">
        <v>196</v>
      </c>
      <c r="J206">
        <f t="shared" si="110"/>
        <v>-480.63084796915945</v>
      </c>
      <c r="K206">
        <f t="shared" si="111"/>
        <v>-137.8186779084995</v>
      </c>
      <c r="M206">
        <v>196</v>
      </c>
      <c r="N206">
        <f t="shared" si="112"/>
        <v>-552.72547516453335</v>
      </c>
      <c r="O206">
        <f t="shared" si="113"/>
        <v>-158.49147959477443</v>
      </c>
      <c r="Q206">
        <f t="shared" si="114"/>
        <v>-82.691206745099706</v>
      </c>
      <c r="R206">
        <f t="shared" si="115"/>
        <v>-288.37850878149567</v>
      </c>
      <c r="S206">
        <f t="shared" si="108"/>
        <v>-230.69120674509969</v>
      </c>
      <c r="T206">
        <f t="shared" si="109"/>
        <v>-288.37850878149567</v>
      </c>
      <c r="V206">
        <f t="shared" si="116"/>
        <v>-82.691206745099706</v>
      </c>
      <c r="W206">
        <f t="shared" si="117"/>
        <v>-288.37850878149567</v>
      </c>
      <c r="X206">
        <f t="shared" si="118"/>
        <v>-230.69120674509969</v>
      </c>
      <c r="Y206">
        <f t="shared" si="119"/>
        <v>-288.37850878149567</v>
      </c>
      <c r="AA206">
        <v>196</v>
      </c>
      <c r="AB206">
        <f t="shared" si="120"/>
        <v>-432.56776317224353</v>
      </c>
      <c r="AC206">
        <f t="shared" si="121"/>
        <v>-124.03681011764955</v>
      </c>
      <c r="AD206">
        <v>196</v>
      </c>
      <c r="AE206">
        <f t="shared" si="122"/>
        <v>-624.82010235990731</v>
      </c>
      <c r="AF206">
        <f t="shared" si="123"/>
        <v>-179.16428128104934</v>
      </c>
      <c r="AV206">
        <v>196</v>
      </c>
      <c r="AW206">
        <f t="shared" si="124"/>
        <v>-672.88318715682317</v>
      </c>
      <c r="AX206">
        <f t="shared" si="125"/>
        <v>-192.9461490718993</v>
      </c>
      <c r="AZ206">
        <f t="shared" si="106"/>
        <v>494.97474683058317</v>
      </c>
      <c r="BA206">
        <f t="shared" si="107"/>
        <v>-494.9747468305834</v>
      </c>
    </row>
    <row r="207" spans="9:53" x14ac:dyDescent="0.25">
      <c r="I207">
        <v>197</v>
      </c>
      <c r="J207">
        <f t="shared" si="110"/>
        <v>-478.15237798151776</v>
      </c>
      <c r="K207">
        <f t="shared" si="111"/>
        <v>-146.18585236136818</v>
      </c>
      <c r="M207">
        <v>197</v>
      </c>
      <c r="N207">
        <f t="shared" si="112"/>
        <v>-549.87523467874541</v>
      </c>
      <c r="O207">
        <f t="shared" si="113"/>
        <v>-168.11373021557341</v>
      </c>
      <c r="Q207">
        <f t="shared" si="114"/>
        <v>-87.711511416820912</v>
      </c>
      <c r="R207">
        <f t="shared" si="115"/>
        <v>-286.89142678891068</v>
      </c>
      <c r="S207">
        <f t="shared" si="108"/>
        <v>-235.71151141682091</v>
      </c>
      <c r="T207">
        <f t="shared" si="109"/>
        <v>-286.89142678891068</v>
      </c>
      <c r="V207">
        <f t="shared" si="116"/>
        <v>-87.711511416820912</v>
      </c>
      <c r="W207">
        <f t="shared" si="117"/>
        <v>-286.89142678891068</v>
      </c>
      <c r="X207">
        <f t="shared" si="118"/>
        <v>-235.71151141682091</v>
      </c>
      <c r="Y207">
        <f t="shared" si="119"/>
        <v>-286.89142678891068</v>
      </c>
      <c r="AA207">
        <v>197</v>
      </c>
      <c r="AB207">
        <f t="shared" si="120"/>
        <v>-430.33714018336599</v>
      </c>
      <c r="AC207">
        <f t="shared" si="121"/>
        <v>-131.56726712523138</v>
      </c>
      <c r="AD207">
        <v>197</v>
      </c>
      <c r="AE207">
        <f t="shared" si="122"/>
        <v>-621.59809137597313</v>
      </c>
      <c r="AF207">
        <f t="shared" si="123"/>
        <v>-190.04160806977865</v>
      </c>
      <c r="AV207">
        <v>197</v>
      </c>
      <c r="AW207">
        <f t="shared" si="124"/>
        <v>-669.4133291741249</v>
      </c>
      <c r="AX207">
        <f t="shared" si="125"/>
        <v>-204.66019330591547</v>
      </c>
      <c r="AZ207">
        <f t="shared" si="106"/>
        <v>494.97474683058317</v>
      </c>
      <c r="BA207">
        <f t="shared" si="107"/>
        <v>-494.9747468305834</v>
      </c>
    </row>
    <row r="208" spans="9:53" x14ac:dyDescent="0.25">
      <c r="I208">
        <v>198</v>
      </c>
      <c r="J208">
        <f t="shared" si="110"/>
        <v>-475.52825814757676</v>
      </c>
      <c r="K208">
        <f t="shared" si="111"/>
        <v>-154.50849718747386</v>
      </c>
      <c r="M208">
        <v>198</v>
      </c>
      <c r="N208">
        <f t="shared" si="112"/>
        <v>-546.85749686971326</v>
      </c>
      <c r="O208">
        <f t="shared" si="113"/>
        <v>-177.68477176559495</v>
      </c>
      <c r="Q208">
        <f t="shared" si="114"/>
        <v>-92.705098312484324</v>
      </c>
      <c r="R208">
        <f t="shared" si="115"/>
        <v>-285.31695488854604</v>
      </c>
      <c r="S208">
        <f t="shared" si="108"/>
        <v>-240.70509831248432</v>
      </c>
      <c r="T208">
        <f t="shared" si="109"/>
        <v>-285.31695488854604</v>
      </c>
      <c r="V208">
        <f t="shared" si="116"/>
        <v>-92.705098312484324</v>
      </c>
      <c r="W208">
        <f t="shared" si="117"/>
        <v>-285.31695488854604</v>
      </c>
      <c r="X208">
        <f t="shared" si="118"/>
        <v>-240.70509831248432</v>
      </c>
      <c r="Y208">
        <f t="shared" si="119"/>
        <v>-285.31695488854604</v>
      </c>
      <c r="AA208">
        <v>198</v>
      </c>
      <c r="AB208">
        <f t="shared" si="120"/>
        <v>-427.97543233281908</v>
      </c>
      <c r="AC208">
        <f t="shared" si="121"/>
        <v>-139.05764746872649</v>
      </c>
      <c r="AD208">
        <v>198</v>
      </c>
      <c r="AE208">
        <f t="shared" si="122"/>
        <v>-618.18673559184981</v>
      </c>
      <c r="AF208">
        <f t="shared" si="123"/>
        <v>-200.86104634371603</v>
      </c>
      <c r="AV208">
        <v>198</v>
      </c>
      <c r="AW208">
        <f t="shared" si="124"/>
        <v>-665.73956140660744</v>
      </c>
      <c r="AX208">
        <f t="shared" si="125"/>
        <v>-216.3118960624634</v>
      </c>
      <c r="AZ208">
        <f t="shared" si="106"/>
        <v>494.97474683058317</v>
      </c>
      <c r="BA208">
        <f t="shared" si="107"/>
        <v>-494.9747468305834</v>
      </c>
    </row>
    <row r="209" spans="9:53" x14ac:dyDescent="0.25">
      <c r="I209">
        <v>199</v>
      </c>
      <c r="J209">
        <f t="shared" si="110"/>
        <v>-472.75928779965835</v>
      </c>
      <c r="K209">
        <f t="shared" si="111"/>
        <v>-162.78407722857838</v>
      </c>
      <c r="M209">
        <v>199</v>
      </c>
      <c r="N209">
        <f t="shared" si="112"/>
        <v>-543.67318096960707</v>
      </c>
      <c r="O209">
        <f t="shared" si="113"/>
        <v>-187.20168881286514</v>
      </c>
      <c r="Q209">
        <f t="shared" si="114"/>
        <v>-97.670446337147027</v>
      </c>
      <c r="R209">
        <f t="shared" si="115"/>
        <v>-283.655572679795</v>
      </c>
      <c r="S209">
        <f t="shared" si="108"/>
        <v>-245.67044633714704</v>
      </c>
      <c r="T209">
        <f t="shared" si="109"/>
        <v>-283.655572679795</v>
      </c>
      <c r="V209">
        <f t="shared" si="116"/>
        <v>-97.670446337147027</v>
      </c>
      <c r="W209">
        <f t="shared" si="117"/>
        <v>-283.655572679795</v>
      </c>
      <c r="X209">
        <f t="shared" si="118"/>
        <v>-245.67044633714704</v>
      </c>
      <c r="Y209">
        <f t="shared" si="119"/>
        <v>-283.655572679795</v>
      </c>
      <c r="AA209">
        <v>199</v>
      </c>
      <c r="AB209">
        <f t="shared" si="120"/>
        <v>-425.48335901969256</v>
      </c>
      <c r="AC209">
        <f t="shared" si="121"/>
        <v>-146.50566950572053</v>
      </c>
      <c r="AD209">
        <v>199</v>
      </c>
      <c r="AE209">
        <f t="shared" si="122"/>
        <v>-614.58707413955585</v>
      </c>
      <c r="AF209">
        <f t="shared" si="123"/>
        <v>-211.6193003971519</v>
      </c>
      <c r="AV209">
        <v>199</v>
      </c>
      <c r="AW209">
        <f t="shared" si="124"/>
        <v>-661.8630029195217</v>
      </c>
      <c r="AX209">
        <f t="shared" si="125"/>
        <v>-227.89770812000972</v>
      </c>
      <c r="AZ209">
        <f t="shared" si="106"/>
        <v>494.97474683058317</v>
      </c>
      <c r="BA209">
        <f t="shared" si="107"/>
        <v>-494.9747468305834</v>
      </c>
    </row>
    <row r="210" spans="9:53" x14ac:dyDescent="0.25">
      <c r="I210">
        <v>200</v>
      </c>
      <c r="J210">
        <f t="shared" si="110"/>
        <v>-469.84631039295419</v>
      </c>
      <c r="K210">
        <f t="shared" si="111"/>
        <v>-171.01007166283432</v>
      </c>
      <c r="M210">
        <v>200</v>
      </c>
      <c r="N210">
        <f t="shared" si="112"/>
        <v>-540.32325695189729</v>
      </c>
      <c r="O210">
        <f t="shared" si="113"/>
        <v>-196.66158241225949</v>
      </c>
      <c r="Q210">
        <f t="shared" si="114"/>
        <v>-102.6060429977006</v>
      </c>
      <c r="R210">
        <f t="shared" si="115"/>
        <v>-281.90778623577251</v>
      </c>
      <c r="S210">
        <f t="shared" si="108"/>
        <v>-250.6060429977006</v>
      </c>
      <c r="T210">
        <f t="shared" si="109"/>
        <v>-281.90778623577251</v>
      </c>
      <c r="V210">
        <f t="shared" si="116"/>
        <v>-102.6060429977006</v>
      </c>
      <c r="W210">
        <f t="shared" si="117"/>
        <v>-281.90778623577251</v>
      </c>
      <c r="X210">
        <f t="shared" si="118"/>
        <v>-250.6060429977006</v>
      </c>
      <c r="Y210">
        <f t="shared" si="119"/>
        <v>-281.90778623577251</v>
      </c>
      <c r="AA210">
        <v>200</v>
      </c>
      <c r="AB210">
        <f t="shared" si="120"/>
        <v>-422.86167935365881</v>
      </c>
      <c r="AC210">
        <f t="shared" si="121"/>
        <v>-153.90906449655088</v>
      </c>
      <c r="AD210">
        <v>200</v>
      </c>
      <c r="AE210">
        <f t="shared" si="122"/>
        <v>-610.80020351084045</v>
      </c>
      <c r="AF210">
        <f t="shared" si="123"/>
        <v>-222.31309316168463</v>
      </c>
      <c r="AV210">
        <v>200</v>
      </c>
      <c r="AW210">
        <f t="shared" si="124"/>
        <v>-657.78483455013588</v>
      </c>
      <c r="AX210">
        <f t="shared" si="125"/>
        <v>-239.41410032796807</v>
      </c>
      <c r="AZ210">
        <f t="shared" si="106"/>
        <v>494.97474683058317</v>
      </c>
      <c r="BA210">
        <f t="shared" si="107"/>
        <v>-494.9747468305834</v>
      </c>
    </row>
    <row r="211" spans="9:53" x14ac:dyDescent="0.25">
      <c r="I211">
        <v>201</v>
      </c>
      <c r="J211">
        <f t="shared" si="110"/>
        <v>-466.79021324860088</v>
      </c>
      <c r="K211">
        <f t="shared" si="111"/>
        <v>-179.18397477265023</v>
      </c>
      <c r="M211">
        <v>201</v>
      </c>
      <c r="N211">
        <f t="shared" si="112"/>
        <v>-536.80874523589102</v>
      </c>
      <c r="O211">
        <f t="shared" si="113"/>
        <v>-206.06157098854774</v>
      </c>
      <c r="Q211">
        <f t="shared" si="114"/>
        <v>-107.51038486359013</v>
      </c>
      <c r="R211">
        <f t="shared" si="115"/>
        <v>-280.07412794916053</v>
      </c>
      <c r="S211">
        <f t="shared" si="108"/>
        <v>-255.51038486359013</v>
      </c>
      <c r="T211">
        <f t="shared" si="109"/>
        <v>-280.07412794916053</v>
      </c>
      <c r="V211">
        <f t="shared" si="116"/>
        <v>-107.51038486359013</v>
      </c>
      <c r="W211">
        <f t="shared" si="117"/>
        <v>-280.07412794916053</v>
      </c>
      <c r="X211">
        <f t="shared" si="118"/>
        <v>-255.51038486359013</v>
      </c>
      <c r="Y211">
        <f t="shared" si="119"/>
        <v>-280.07412794916053</v>
      </c>
      <c r="AA211">
        <v>201</v>
      </c>
      <c r="AB211">
        <f t="shared" si="120"/>
        <v>-420.11119192374076</v>
      </c>
      <c r="AC211">
        <f t="shared" si="121"/>
        <v>-161.26557729538519</v>
      </c>
      <c r="AD211">
        <v>201</v>
      </c>
      <c r="AE211">
        <f t="shared" si="122"/>
        <v>-606.82727722318111</v>
      </c>
      <c r="AF211">
        <f t="shared" si="123"/>
        <v>-232.93916720444528</v>
      </c>
      <c r="AV211">
        <v>201</v>
      </c>
      <c r="AW211">
        <f t="shared" si="124"/>
        <v>-653.50629854804117</v>
      </c>
      <c r="AX211">
        <f t="shared" si="125"/>
        <v>-250.8575646817103</v>
      </c>
      <c r="AZ211">
        <f t="shared" si="106"/>
        <v>494.97474683058317</v>
      </c>
      <c r="BA211">
        <f t="shared" si="107"/>
        <v>-494.9747468305834</v>
      </c>
    </row>
    <row r="212" spans="9:53" x14ac:dyDescent="0.25">
      <c r="I212">
        <v>202</v>
      </c>
      <c r="J212">
        <f t="shared" si="110"/>
        <v>-463.59192728339372</v>
      </c>
      <c r="K212">
        <f t="shared" si="111"/>
        <v>-187.30329670795601</v>
      </c>
      <c r="M212">
        <v>202</v>
      </c>
      <c r="N212">
        <f t="shared" si="112"/>
        <v>-533.13071637590281</v>
      </c>
      <c r="O212">
        <f t="shared" si="113"/>
        <v>-215.39879121414941</v>
      </c>
      <c r="Q212">
        <f t="shared" si="114"/>
        <v>-112.3819780247736</v>
      </c>
      <c r="R212">
        <f t="shared" si="115"/>
        <v>-278.15515637003625</v>
      </c>
      <c r="S212">
        <f t="shared" si="108"/>
        <v>-260.38197802477362</v>
      </c>
      <c r="T212">
        <f t="shared" si="109"/>
        <v>-278.15515637003625</v>
      </c>
      <c r="V212">
        <f t="shared" si="116"/>
        <v>-112.3819780247736</v>
      </c>
      <c r="W212">
        <f t="shared" si="117"/>
        <v>-278.15515637003625</v>
      </c>
      <c r="X212">
        <f t="shared" si="118"/>
        <v>-260.38197802477362</v>
      </c>
      <c r="Y212">
        <f t="shared" si="119"/>
        <v>-278.15515637003625</v>
      </c>
      <c r="AA212">
        <v>202</v>
      </c>
      <c r="AB212">
        <f t="shared" si="120"/>
        <v>-417.23273455505432</v>
      </c>
      <c r="AC212">
        <f t="shared" si="121"/>
        <v>-168.5729670371604</v>
      </c>
      <c r="AD212">
        <v>202</v>
      </c>
      <c r="AE212">
        <f t="shared" si="122"/>
        <v>-602.66950546841178</v>
      </c>
      <c r="AF212">
        <f t="shared" si="123"/>
        <v>-243.49428572034282</v>
      </c>
      <c r="AV212">
        <v>202</v>
      </c>
      <c r="AW212">
        <f t="shared" si="124"/>
        <v>-649.02869819675118</v>
      </c>
      <c r="AX212">
        <f t="shared" si="125"/>
        <v>-262.2246153911384</v>
      </c>
      <c r="AZ212">
        <f t="shared" si="106"/>
        <v>494.97474683058317</v>
      </c>
      <c r="BA212">
        <f t="shared" si="107"/>
        <v>-494.9747468305834</v>
      </c>
    </row>
    <row r="213" spans="9:53" x14ac:dyDescent="0.25">
      <c r="I213">
        <v>203</v>
      </c>
      <c r="J213">
        <f t="shared" si="110"/>
        <v>-460.25242672622016</v>
      </c>
      <c r="K213">
        <f t="shared" si="111"/>
        <v>-195.36556424463677</v>
      </c>
      <c r="M213">
        <v>203</v>
      </c>
      <c r="N213">
        <f t="shared" si="112"/>
        <v>-529.29029073515323</v>
      </c>
      <c r="O213">
        <f t="shared" si="113"/>
        <v>-224.67039888133229</v>
      </c>
      <c r="Q213">
        <f t="shared" si="114"/>
        <v>-117.21933854678207</v>
      </c>
      <c r="R213">
        <f t="shared" si="115"/>
        <v>-276.15145603573211</v>
      </c>
      <c r="S213">
        <f t="shared" si="108"/>
        <v>-265.21933854678207</v>
      </c>
      <c r="T213">
        <f t="shared" si="109"/>
        <v>-276.15145603573211</v>
      </c>
      <c r="V213">
        <f t="shared" si="116"/>
        <v>-117.21933854678207</v>
      </c>
      <c r="W213">
        <f t="shared" si="117"/>
        <v>-276.15145603573211</v>
      </c>
      <c r="X213">
        <f t="shared" si="118"/>
        <v>-265.21933854678207</v>
      </c>
      <c r="Y213">
        <f t="shared" si="119"/>
        <v>-276.15145603573211</v>
      </c>
      <c r="AA213">
        <v>203</v>
      </c>
      <c r="AB213">
        <f t="shared" si="120"/>
        <v>-414.22718405359819</v>
      </c>
      <c r="AC213">
        <f t="shared" si="121"/>
        <v>-175.8290078201731</v>
      </c>
      <c r="AD213">
        <v>203</v>
      </c>
      <c r="AE213">
        <f t="shared" si="122"/>
        <v>-598.32815474408619</v>
      </c>
      <c r="AF213">
        <f t="shared" si="123"/>
        <v>-253.97523351802781</v>
      </c>
      <c r="AV213">
        <v>203</v>
      </c>
      <c r="AW213">
        <f t="shared" si="124"/>
        <v>-644.35339741670828</v>
      </c>
      <c r="AX213">
        <f t="shared" si="125"/>
        <v>-273.51178994249148</v>
      </c>
      <c r="AZ213">
        <f t="shared" si="106"/>
        <v>494.97474683058317</v>
      </c>
      <c r="BA213">
        <f t="shared" si="107"/>
        <v>-494.9747468305834</v>
      </c>
    </row>
    <row r="214" spans="9:53" x14ac:dyDescent="0.25">
      <c r="I214">
        <v>204</v>
      </c>
      <c r="J214">
        <f t="shared" si="110"/>
        <v>-456.77272882130052</v>
      </c>
      <c r="K214">
        <f t="shared" si="111"/>
        <v>-203.3683215378999</v>
      </c>
      <c r="M214">
        <v>204</v>
      </c>
      <c r="N214">
        <f t="shared" si="112"/>
        <v>-525.28863814449562</v>
      </c>
      <c r="O214">
        <f t="shared" si="113"/>
        <v>-233.8735697685849</v>
      </c>
      <c r="Q214">
        <f t="shared" si="114"/>
        <v>-122.02099292273995</v>
      </c>
      <c r="R214">
        <f t="shared" si="115"/>
        <v>-274.0636372927803</v>
      </c>
      <c r="S214">
        <f t="shared" si="108"/>
        <v>-270.02099292273994</v>
      </c>
      <c r="T214">
        <f t="shared" si="109"/>
        <v>-274.0636372927803</v>
      </c>
      <c r="V214">
        <f t="shared" si="116"/>
        <v>-122.02099292273995</v>
      </c>
      <c r="W214">
        <f t="shared" si="117"/>
        <v>-274.0636372927803</v>
      </c>
      <c r="X214">
        <f t="shared" si="118"/>
        <v>-270.02099292273994</v>
      </c>
      <c r="Y214">
        <f t="shared" si="119"/>
        <v>-274.0636372927803</v>
      </c>
      <c r="AA214">
        <v>204</v>
      </c>
      <c r="AB214">
        <f t="shared" si="120"/>
        <v>-411.09545593917051</v>
      </c>
      <c r="AC214">
        <f t="shared" si="121"/>
        <v>-183.03148938410993</v>
      </c>
      <c r="AD214">
        <v>204</v>
      </c>
      <c r="AE214">
        <f t="shared" si="122"/>
        <v>-593.80454746769067</v>
      </c>
      <c r="AF214">
        <f t="shared" si="123"/>
        <v>-264.37881799926987</v>
      </c>
      <c r="AV214">
        <v>204</v>
      </c>
      <c r="AW214">
        <f t="shared" si="124"/>
        <v>-639.48182034982074</v>
      </c>
      <c r="AX214">
        <f t="shared" si="125"/>
        <v>-284.71565015305987</v>
      </c>
      <c r="AZ214">
        <f t="shared" si="106"/>
        <v>494.97474683058317</v>
      </c>
      <c r="BA214">
        <f t="shared" si="107"/>
        <v>-494.9747468305834</v>
      </c>
    </row>
    <row r="215" spans="9:53" x14ac:dyDescent="0.25">
      <c r="I215">
        <v>205</v>
      </c>
      <c r="J215">
        <f t="shared" si="110"/>
        <v>-453.15389351832505</v>
      </c>
      <c r="K215">
        <f t="shared" si="111"/>
        <v>-211.30913087034963</v>
      </c>
      <c r="M215">
        <v>205</v>
      </c>
      <c r="N215">
        <f t="shared" si="112"/>
        <v>-521.12697754607382</v>
      </c>
      <c r="O215">
        <f t="shared" si="113"/>
        <v>-243.00550050090209</v>
      </c>
      <c r="Q215">
        <f t="shared" si="114"/>
        <v>-126.78547852220979</v>
      </c>
      <c r="R215">
        <f t="shared" si="115"/>
        <v>-271.89233611099502</v>
      </c>
      <c r="S215">
        <f t="shared" si="108"/>
        <v>-274.78547852220981</v>
      </c>
      <c r="T215">
        <f t="shared" si="109"/>
        <v>-271.89233611099502</v>
      </c>
      <c r="V215">
        <f t="shared" si="116"/>
        <v>-126.78547852220979</v>
      </c>
      <c r="W215">
        <f t="shared" si="117"/>
        <v>-271.89233611099502</v>
      </c>
      <c r="X215">
        <f t="shared" si="118"/>
        <v>-274.78547852220981</v>
      </c>
      <c r="Y215">
        <f t="shared" si="119"/>
        <v>-271.89233611099502</v>
      </c>
      <c r="AA215">
        <v>205</v>
      </c>
      <c r="AB215">
        <f t="shared" si="120"/>
        <v>-407.8385041664925</v>
      </c>
      <c r="AC215">
        <f t="shared" si="121"/>
        <v>-190.17821778331466</v>
      </c>
      <c r="AD215">
        <v>205</v>
      </c>
      <c r="AE215">
        <f t="shared" si="122"/>
        <v>-589.10006157382259</v>
      </c>
      <c r="AF215">
        <f t="shared" si="123"/>
        <v>-274.70187013145454</v>
      </c>
      <c r="AV215">
        <v>205</v>
      </c>
      <c r="AW215">
        <f t="shared" si="124"/>
        <v>-634.41545092565502</v>
      </c>
      <c r="AX215">
        <f t="shared" si="125"/>
        <v>-295.83278321848951</v>
      </c>
      <c r="AZ215">
        <f t="shared" si="106"/>
        <v>494.97474683058317</v>
      </c>
      <c r="BA215">
        <f t="shared" si="107"/>
        <v>-494.9747468305834</v>
      </c>
    </row>
    <row r="216" spans="9:53" x14ac:dyDescent="0.25">
      <c r="I216">
        <v>206</v>
      </c>
      <c r="J216">
        <f t="shared" si="110"/>
        <v>-449.39702314958356</v>
      </c>
      <c r="K216">
        <f t="shared" si="111"/>
        <v>-219.18557339453852</v>
      </c>
      <c r="M216">
        <v>206</v>
      </c>
      <c r="N216">
        <f t="shared" si="112"/>
        <v>-516.80657662202111</v>
      </c>
      <c r="O216">
        <f t="shared" si="113"/>
        <v>-252.06340940371931</v>
      </c>
      <c r="Q216">
        <f t="shared" si="114"/>
        <v>-131.51134403672313</v>
      </c>
      <c r="R216">
        <f t="shared" si="115"/>
        <v>-269.63821388975015</v>
      </c>
      <c r="S216">
        <f t="shared" si="108"/>
        <v>-279.51134403672313</v>
      </c>
      <c r="T216">
        <f t="shared" si="109"/>
        <v>-269.63821388975015</v>
      </c>
      <c r="V216">
        <f t="shared" si="116"/>
        <v>-131.51134403672313</v>
      </c>
      <c r="W216">
        <f t="shared" si="117"/>
        <v>-269.63821388975015</v>
      </c>
      <c r="X216">
        <f t="shared" si="118"/>
        <v>-279.51134403672313</v>
      </c>
      <c r="Y216">
        <f t="shared" si="119"/>
        <v>-269.63821388975015</v>
      </c>
      <c r="AA216">
        <v>206</v>
      </c>
      <c r="AB216">
        <f t="shared" si="120"/>
        <v>-404.45732083462519</v>
      </c>
      <c r="AC216">
        <f t="shared" si="121"/>
        <v>-197.2670160550847</v>
      </c>
      <c r="AD216">
        <v>206</v>
      </c>
      <c r="AE216">
        <f t="shared" si="122"/>
        <v>-584.21613009445866</v>
      </c>
      <c r="AF216">
        <f t="shared" si="123"/>
        <v>-284.94124541290012</v>
      </c>
      <c r="AV216">
        <v>206</v>
      </c>
      <c r="AW216">
        <f t="shared" si="124"/>
        <v>-629.15583240941703</v>
      </c>
      <c r="AX216">
        <f t="shared" si="125"/>
        <v>-306.85980275235397</v>
      </c>
      <c r="AZ216">
        <f t="shared" si="106"/>
        <v>494.97474683058317</v>
      </c>
      <c r="BA216">
        <f t="shared" si="107"/>
        <v>-494.9747468305834</v>
      </c>
    </row>
    <row r="217" spans="9:53" x14ac:dyDescent="0.25">
      <c r="I217">
        <v>207</v>
      </c>
      <c r="J217">
        <f t="shared" si="110"/>
        <v>-445.50326209418404</v>
      </c>
      <c r="K217">
        <f t="shared" si="111"/>
        <v>-226.99524986977312</v>
      </c>
      <c r="M217">
        <v>207</v>
      </c>
      <c r="N217">
        <f t="shared" si="112"/>
        <v>-512.32875140831163</v>
      </c>
      <c r="O217">
        <f t="shared" si="113"/>
        <v>-261.04453735023907</v>
      </c>
      <c r="Q217">
        <f t="shared" si="114"/>
        <v>-136.19714992186388</v>
      </c>
      <c r="R217">
        <f t="shared" si="115"/>
        <v>-267.30195725651043</v>
      </c>
      <c r="S217">
        <f t="shared" si="108"/>
        <v>-284.19714992186391</v>
      </c>
      <c r="T217">
        <f t="shared" si="109"/>
        <v>-267.30195725651043</v>
      </c>
      <c r="V217">
        <f t="shared" si="116"/>
        <v>-136.19714992186388</v>
      </c>
      <c r="W217">
        <f t="shared" si="117"/>
        <v>-267.30195725651043</v>
      </c>
      <c r="X217">
        <f t="shared" si="118"/>
        <v>-284.19714992186391</v>
      </c>
      <c r="Y217">
        <f t="shared" si="119"/>
        <v>-267.30195725651043</v>
      </c>
      <c r="AA217">
        <v>207</v>
      </c>
      <c r="AB217">
        <f t="shared" si="120"/>
        <v>-400.95293588476568</v>
      </c>
      <c r="AC217">
        <f t="shared" si="121"/>
        <v>-204.29572488279581</v>
      </c>
      <c r="AD217">
        <v>207</v>
      </c>
      <c r="AE217">
        <f t="shared" si="122"/>
        <v>-579.15424072243923</v>
      </c>
      <c r="AF217">
        <f t="shared" si="123"/>
        <v>-295.09382483070505</v>
      </c>
      <c r="AV217">
        <v>207</v>
      </c>
      <c r="AW217">
        <f t="shared" si="124"/>
        <v>-623.7045669318577</v>
      </c>
      <c r="AX217">
        <f t="shared" si="125"/>
        <v>-317.79334981768238</v>
      </c>
      <c r="AZ217">
        <f t="shared" si="106"/>
        <v>494.97474683058317</v>
      </c>
      <c r="BA217">
        <f t="shared" si="107"/>
        <v>-494.9747468305834</v>
      </c>
    </row>
    <row r="218" spans="9:53" x14ac:dyDescent="0.25">
      <c r="I218">
        <v>208</v>
      </c>
      <c r="J218">
        <f t="shared" si="110"/>
        <v>-441.47379642946345</v>
      </c>
      <c r="K218">
        <f t="shared" si="111"/>
        <v>-234.73578139294543</v>
      </c>
      <c r="M218">
        <v>208</v>
      </c>
      <c r="N218">
        <f t="shared" si="112"/>
        <v>-507.69486589388293</v>
      </c>
      <c r="O218">
        <f t="shared" si="113"/>
        <v>-269.94614860188727</v>
      </c>
      <c r="Q218">
        <f t="shared" si="114"/>
        <v>-140.84146883576724</v>
      </c>
      <c r="R218">
        <f t="shared" si="115"/>
        <v>-264.88427785767806</v>
      </c>
      <c r="S218">
        <f t="shared" si="108"/>
        <v>-288.84146883576727</v>
      </c>
      <c r="T218">
        <f t="shared" si="109"/>
        <v>-264.88427785767806</v>
      </c>
      <c r="V218">
        <f t="shared" si="116"/>
        <v>-140.84146883576724</v>
      </c>
      <c r="W218">
        <f t="shared" si="117"/>
        <v>-264.88427785767806</v>
      </c>
      <c r="X218">
        <f t="shared" si="118"/>
        <v>-288.84146883576727</v>
      </c>
      <c r="Y218">
        <f t="shared" si="119"/>
        <v>-264.88427785767806</v>
      </c>
      <c r="AA218">
        <v>208</v>
      </c>
      <c r="AB218">
        <f t="shared" si="120"/>
        <v>-397.32641678651709</v>
      </c>
      <c r="AC218">
        <f t="shared" si="121"/>
        <v>-211.26220325365088</v>
      </c>
      <c r="AD218">
        <v>208</v>
      </c>
      <c r="AE218">
        <f t="shared" si="122"/>
        <v>-573.91593535830248</v>
      </c>
      <c r="AF218">
        <f t="shared" si="123"/>
        <v>-305.15651581082903</v>
      </c>
      <c r="AV218">
        <v>208</v>
      </c>
      <c r="AW218">
        <f t="shared" si="124"/>
        <v>-618.06331500124884</v>
      </c>
      <c r="AX218">
        <f t="shared" si="125"/>
        <v>-328.63009395012358</v>
      </c>
      <c r="AZ218">
        <f t="shared" si="106"/>
        <v>494.97474683058317</v>
      </c>
      <c r="BA218">
        <f t="shared" si="107"/>
        <v>-494.9747468305834</v>
      </c>
    </row>
    <row r="219" spans="9:53" x14ac:dyDescent="0.25">
      <c r="I219">
        <v>209</v>
      </c>
      <c r="J219">
        <f t="shared" si="110"/>
        <v>-437.30985356969791</v>
      </c>
      <c r="K219">
        <f t="shared" si="111"/>
        <v>-242.40481012316846</v>
      </c>
      <c r="M219">
        <v>209</v>
      </c>
      <c r="N219">
        <f t="shared" si="112"/>
        <v>-502.90633160515262</v>
      </c>
      <c r="O219">
        <f t="shared" si="113"/>
        <v>-278.76553164164375</v>
      </c>
      <c r="Q219">
        <f t="shared" si="114"/>
        <v>-145.44288607390109</v>
      </c>
      <c r="R219">
        <f t="shared" si="115"/>
        <v>-262.38591214181878</v>
      </c>
      <c r="S219">
        <f t="shared" si="108"/>
        <v>-293.44288607390109</v>
      </c>
      <c r="T219">
        <f t="shared" si="109"/>
        <v>-262.38591214181878</v>
      </c>
      <c r="V219">
        <f t="shared" si="116"/>
        <v>-145.44288607390109</v>
      </c>
      <c r="W219">
        <f t="shared" si="117"/>
        <v>-262.38591214181878</v>
      </c>
      <c r="X219">
        <f t="shared" si="118"/>
        <v>-293.44288607390109</v>
      </c>
      <c r="Y219">
        <f t="shared" si="119"/>
        <v>-262.38591214181878</v>
      </c>
      <c r="AA219">
        <v>209</v>
      </c>
      <c r="AB219">
        <f t="shared" si="120"/>
        <v>-393.57886821272814</v>
      </c>
      <c r="AC219">
        <f t="shared" si="121"/>
        <v>-218.16432911085164</v>
      </c>
      <c r="AD219">
        <v>209</v>
      </c>
      <c r="AE219">
        <f t="shared" si="122"/>
        <v>-568.50280964060732</v>
      </c>
      <c r="AF219">
        <f t="shared" si="123"/>
        <v>-315.12625316011901</v>
      </c>
      <c r="AV219">
        <v>209</v>
      </c>
      <c r="AW219">
        <f t="shared" si="124"/>
        <v>-612.23379499757709</v>
      </c>
      <c r="AX219">
        <f t="shared" si="125"/>
        <v>-339.36673417243588</v>
      </c>
      <c r="AZ219">
        <f t="shared" si="106"/>
        <v>494.97474683058317</v>
      </c>
      <c r="BA219">
        <f t="shared" si="107"/>
        <v>-494.9747468305834</v>
      </c>
    </row>
    <row r="220" spans="9:53" x14ac:dyDescent="0.25">
      <c r="I220">
        <v>210</v>
      </c>
      <c r="J220">
        <f t="shared" si="110"/>
        <v>-433.0127018922193</v>
      </c>
      <c r="K220">
        <f t="shared" si="111"/>
        <v>-250.00000000000006</v>
      </c>
      <c r="M220">
        <v>210</v>
      </c>
      <c r="N220">
        <f t="shared" si="112"/>
        <v>-497.9646071760522</v>
      </c>
      <c r="O220">
        <f t="shared" si="113"/>
        <v>-287.50000000000006</v>
      </c>
      <c r="Q220">
        <f t="shared" si="114"/>
        <v>-150.00000000000003</v>
      </c>
      <c r="R220">
        <f t="shared" si="115"/>
        <v>-259.8076211353316</v>
      </c>
      <c r="S220">
        <f t="shared" si="108"/>
        <v>-298</v>
      </c>
      <c r="T220">
        <f t="shared" si="109"/>
        <v>-259.8076211353316</v>
      </c>
      <c r="V220">
        <f t="shared" si="116"/>
        <v>-150.00000000000003</v>
      </c>
      <c r="W220">
        <f t="shared" si="117"/>
        <v>-259.8076211353316</v>
      </c>
      <c r="X220">
        <f t="shared" si="118"/>
        <v>-298</v>
      </c>
      <c r="Y220">
        <f t="shared" si="119"/>
        <v>-259.8076211353316</v>
      </c>
      <c r="AA220">
        <v>210</v>
      </c>
      <c r="AB220">
        <f t="shared" si="120"/>
        <v>-389.71143170299734</v>
      </c>
      <c r="AC220">
        <f t="shared" si="121"/>
        <v>-225.00000000000006</v>
      </c>
      <c r="AD220">
        <v>210</v>
      </c>
      <c r="AE220">
        <f t="shared" si="122"/>
        <v>-562.9165124598851</v>
      </c>
      <c r="AF220">
        <f t="shared" si="123"/>
        <v>-325.00000000000006</v>
      </c>
      <c r="AV220">
        <v>210</v>
      </c>
      <c r="AW220">
        <f t="shared" si="124"/>
        <v>-606.21778264910699</v>
      </c>
      <c r="AX220">
        <f t="shared" si="125"/>
        <v>-350.00000000000006</v>
      </c>
      <c r="AZ220">
        <f t="shared" si="106"/>
        <v>494.97474683058317</v>
      </c>
      <c r="BA220">
        <f t="shared" si="107"/>
        <v>-494.9747468305834</v>
      </c>
    </row>
    <row r="221" spans="9:53" x14ac:dyDescent="0.25">
      <c r="I221">
        <v>211</v>
      </c>
      <c r="J221">
        <f t="shared" si="110"/>
        <v>-428.58365035105618</v>
      </c>
      <c r="K221">
        <f t="shared" si="111"/>
        <v>-257.5190374550271</v>
      </c>
      <c r="M221">
        <v>211</v>
      </c>
      <c r="N221">
        <f t="shared" si="112"/>
        <v>-492.87119790371457</v>
      </c>
      <c r="O221">
        <f t="shared" si="113"/>
        <v>-296.14689307328115</v>
      </c>
      <c r="Q221">
        <f t="shared" si="114"/>
        <v>-154.51142247301624</v>
      </c>
      <c r="R221">
        <f t="shared" si="115"/>
        <v>-257.1501902106337</v>
      </c>
      <c r="S221">
        <f t="shared" si="108"/>
        <v>-302.51142247301624</v>
      </c>
      <c r="T221">
        <f t="shared" si="109"/>
        <v>-257.1501902106337</v>
      </c>
      <c r="V221">
        <f t="shared" si="116"/>
        <v>-154.51142247301624</v>
      </c>
      <c r="W221">
        <f t="shared" si="117"/>
        <v>-257.1501902106337</v>
      </c>
      <c r="X221">
        <f t="shared" si="118"/>
        <v>-302.51142247301624</v>
      </c>
      <c r="Y221">
        <f t="shared" si="119"/>
        <v>-257.1501902106337</v>
      </c>
      <c r="AA221">
        <v>211</v>
      </c>
      <c r="AB221">
        <f t="shared" si="120"/>
        <v>-385.72528531595054</v>
      </c>
      <c r="AC221">
        <f t="shared" si="121"/>
        <v>-231.76713370952436</v>
      </c>
      <c r="AD221">
        <v>211</v>
      </c>
      <c r="AE221">
        <f t="shared" si="122"/>
        <v>-557.15874545637303</v>
      </c>
      <c r="AF221">
        <f t="shared" si="123"/>
        <v>-334.77474869153519</v>
      </c>
      <c r="AV221">
        <v>211</v>
      </c>
      <c r="AW221">
        <f t="shared" si="124"/>
        <v>-600.01711049147866</v>
      </c>
      <c r="AX221">
        <f t="shared" si="125"/>
        <v>-360.52665243703791</v>
      </c>
      <c r="AZ221">
        <f t="shared" si="106"/>
        <v>494.97474683058317</v>
      </c>
      <c r="BA221">
        <f t="shared" si="107"/>
        <v>-494.9747468305834</v>
      </c>
    </row>
    <row r="222" spans="9:53" x14ac:dyDescent="0.25">
      <c r="I222">
        <v>212</v>
      </c>
      <c r="J222">
        <f t="shared" si="110"/>
        <v>-424.02404807821301</v>
      </c>
      <c r="K222">
        <f t="shared" si="111"/>
        <v>-264.95963211660239</v>
      </c>
      <c r="M222">
        <v>212</v>
      </c>
      <c r="N222">
        <f t="shared" si="112"/>
        <v>-487.62765528994498</v>
      </c>
      <c r="O222">
        <f t="shared" si="113"/>
        <v>-304.70357693409278</v>
      </c>
      <c r="Q222">
        <f t="shared" si="114"/>
        <v>-158.97577926996144</v>
      </c>
      <c r="R222">
        <f t="shared" si="115"/>
        <v>-254.41442884692782</v>
      </c>
      <c r="S222">
        <f t="shared" si="108"/>
        <v>-306.97577926996144</v>
      </c>
      <c r="T222">
        <f t="shared" si="109"/>
        <v>-254.41442884692782</v>
      </c>
      <c r="V222">
        <f t="shared" si="116"/>
        <v>-158.97577926996144</v>
      </c>
      <c r="W222">
        <f t="shared" si="117"/>
        <v>-254.41442884692782</v>
      </c>
      <c r="X222">
        <f t="shared" si="118"/>
        <v>-306.97577926996144</v>
      </c>
      <c r="Y222">
        <f t="shared" si="119"/>
        <v>-254.41442884692782</v>
      </c>
      <c r="AA222">
        <v>212</v>
      </c>
      <c r="AB222">
        <f t="shared" si="120"/>
        <v>-381.62164327039176</v>
      </c>
      <c r="AC222">
        <f t="shared" si="121"/>
        <v>-238.46366890494215</v>
      </c>
      <c r="AD222">
        <v>212</v>
      </c>
      <c r="AE222">
        <f t="shared" si="122"/>
        <v>-551.23126250167695</v>
      </c>
      <c r="AF222">
        <f t="shared" si="123"/>
        <v>-344.44752175158311</v>
      </c>
      <c r="AV222">
        <v>212</v>
      </c>
      <c r="AW222">
        <f t="shared" si="124"/>
        <v>-593.63366730949826</v>
      </c>
      <c r="AX222">
        <f t="shared" si="125"/>
        <v>-370.94348496324335</v>
      </c>
      <c r="AZ222">
        <f t="shared" si="106"/>
        <v>494.97474683058317</v>
      </c>
      <c r="BA222">
        <f t="shared" si="107"/>
        <v>-494.9747468305834</v>
      </c>
    </row>
    <row r="223" spans="9:53" x14ac:dyDescent="0.25">
      <c r="I223">
        <v>213</v>
      </c>
      <c r="J223">
        <f t="shared" si="110"/>
        <v>-419.33528397271203</v>
      </c>
      <c r="K223">
        <f t="shared" si="111"/>
        <v>-272.31951750751352</v>
      </c>
      <c r="M223">
        <v>213</v>
      </c>
      <c r="N223">
        <f t="shared" si="112"/>
        <v>-482.23557656861885</v>
      </c>
      <c r="O223">
        <f t="shared" si="113"/>
        <v>-313.16744513364057</v>
      </c>
      <c r="Q223">
        <f t="shared" si="114"/>
        <v>-163.39171050450813</v>
      </c>
      <c r="R223">
        <f t="shared" si="115"/>
        <v>-251.60117038362722</v>
      </c>
      <c r="S223">
        <f t="shared" si="108"/>
        <v>-311.39171050450813</v>
      </c>
      <c r="T223">
        <f t="shared" si="109"/>
        <v>-251.60117038362722</v>
      </c>
      <c r="V223">
        <f t="shared" si="116"/>
        <v>-163.39171050450813</v>
      </c>
      <c r="W223">
        <f t="shared" si="117"/>
        <v>-251.60117038362722</v>
      </c>
      <c r="X223">
        <f t="shared" si="118"/>
        <v>-311.39171050450813</v>
      </c>
      <c r="Y223">
        <f t="shared" si="119"/>
        <v>-251.60117038362722</v>
      </c>
      <c r="AA223">
        <v>213</v>
      </c>
      <c r="AB223">
        <f t="shared" si="120"/>
        <v>-377.4017555754408</v>
      </c>
      <c r="AC223">
        <f t="shared" si="121"/>
        <v>-245.08756575676219</v>
      </c>
      <c r="AD223">
        <v>213</v>
      </c>
      <c r="AE223">
        <f t="shared" si="122"/>
        <v>-545.13586916452562</v>
      </c>
      <c r="AF223">
        <f t="shared" si="123"/>
        <v>-354.01537275976762</v>
      </c>
      <c r="AV223">
        <v>213</v>
      </c>
      <c r="AW223">
        <f t="shared" si="124"/>
        <v>-587.06939756179679</v>
      </c>
      <c r="AX223">
        <f t="shared" si="125"/>
        <v>-381.24732451051898</v>
      </c>
      <c r="AZ223">
        <f t="shared" si="106"/>
        <v>494.97474683058317</v>
      </c>
      <c r="BA223">
        <f t="shared" si="107"/>
        <v>-494.9747468305834</v>
      </c>
    </row>
    <row r="224" spans="9:53" x14ac:dyDescent="0.25">
      <c r="I224">
        <v>214</v>
      </c>
      <c r="J224">
        <f t="shared" si="110"/>
        <v>-414.51878627752092</v>
      </c>
      <c r="K224">
        <f t="shared" si="111"/>
        <v>-279.59645173537336</v>
      </c>
      <c r="M224">
        <v>214</v>
      </c>
      <c r="N224">
        <f t="shared" si="112"/>
        <v>-476.69660421914904</v>
      </c>
      <c r="O224">
        <f t="shared" si="113"/>
        <v>-321.53591949567937</v>
      </c>
      <c r="Q224">
        <f t="shared" si="114"/>
        <v>-167.75787104122401</v>
      </c>
      <c r="R224">
        <f t="shared" si="115"/>
        <v>-248.71127176651257</v>
      </c>
      <c r="S224">
        <f t="shared" si="108"/>
        <v>-315.75787104122401</v>
      </c>
      <c r="T224">
        <f t="shared" si="109"/>
        <v>-248.71127176651257</v>
      </c>
      <c r="V224">
        <f t="shared" si="116"/>
        <v>-167.75787104122401</v>
      </c>
      <c r="W224">
        <f t="shared" si="117"/>
        <v>-248.71127176651257</v>
      </c>
      <c r="X224">
        <f t="shared" si="118"/>
        <v>-315.75787104122401</v>
      </c>
      <c r="Y224">
        <f t="shared" si="119"/>
        <v>-248.71127176651257</v>
      </c>
      <c r="AA224">
        <v>214</v>
      </c>
      <c r="AB224">
        <f t="shared" si="120"/>
        <v>-373.06690764976884</v>
      </c>
      <c r="AC224">
        <f t="shared" si="121"/>
        <v>-251.63680656183601</v>
      </c>
      <c r="AD224">
        <v>214</v>
      </c>
      <c r="AE224">
        <f t="shared" si="122"/>
        <v>-538.87442216077716</v>
      </c>
      <c r="AF224">
        <f t="shared" si="123"/>
        <v>-363.47538725598537</v>
      </c>
      <c r="AV224">
        <v>214</v>
      </c>
      <c r="AW224">
        <f t="shared" si="124"/>
        <v>-580.32630078852924</v>
      </c>
      <c r="AX224">
        <f t="shared" si="125"/>
        <v>-391.43503242952266</v>
      </c>
      <c r="AZ224">
        <f t="shared" si="106"/>
        <v>494.97474683058317</v>
      </c>
      <c r="BA224">
        <f t="shared" si="107"/>
        <v>-494.9747468305834</v>
      </c>
    </row>
    <row r="225" spans="9:53" x14ac:dyDescent="0.25">
      <c r="I225">
        <v>215</v>
      </c>
      <c r="J225">
        <f t="shared" si="110"/>
        <v>-409.57602214449599</v>
      </c>
      <c r="K225">
        <f t="shared" si="111"/>
        <v>-286.7882181755229</v>
      </c>
      <c r="M225">
        <v>215</v>
      </c>
      <c r="N225">
        <f t="shared" si="112"/>
        <v>-471.01242546617038</v>
      </c>
      <c r="O225">
        <f t="shared" si="113"/>
        <v>-329.80645090185135</v>
      </c>
      <c r="Q225">
        <f t="shared" si="114"/>
        <v>-172.07293090531374</v>
      </c>
      <c r="R225">
        <f t="shared" si="115"/>
        <v>-245.74561328669762</v>
      </c>
      <c r="S225">
        <f t="shared" si="108"/>
        <v>-320.07293090531374</v>
      </c>
      <c r="T225">
        <f t="shared" si="109"/>
        <v>-245.74561328669762</v>
      </c>
      <c r="V225">
        <f t="shared" si="116"/>
        <v>-172.07293090531374</v>
      </c>
      <c r="W225">
        <f t="shared" si="117"/>
        <v>-245.74561328669762</v>
      </c>
      <c r="X225">
        <f t="shared" si="118"/>
        <v>-320.07293090531374</v>
      </c>
      <c r="Y225">
        <f t="shared" si="119"/>
        <v>-245.74561328669762</v>
      </c>
      <c r="AA225">
        <v>215</v>
      </c>
      <c r="AB225">
        <f t="shared" si="120"/>
        <v>-368.6184199300464</v>
      </c>
      <c r="AC225">
        <f t="shared" si="121"/>
        <v>-258.10939635797064</v>
      </c>
      <c r="AD225">
        <v>215</v>
      </c>
      <c r="AE225">
        <f t="shared" si="122"/>
        <v>-532.44882878784483</v>
      </c>
      <c r="AF225">
        <f t="shared" si="123"/>
        <v>-372.8246836281798</v>
      </c>
      <c r="AV225">
        <v>215</v>
      </c>
      <c r="AW225">
        <f t="shared" si="124"/>
        <v>-573.40643100229443</v>
      </c>
      <c r="AX225">
        <f t="shared" si="125"/>
        <v>-401.50350544573206</v>
      </c>
      <c r="AZ225">
        <f t="shared" si="106"/>
        <v>494.97474683058317</v>
      </c>
      <c r="BA225">
        <f t="shared" si="107"/>
        <v>-494.9747468305834</v>
      </c>
    </row>
    <row r="226" spans="9:53" x14ac:dyDescent="0.25">
      <c r="I226">
        <v>216</v>
      </c>
      <c r="J226">
        <f t="shared" si="110"/>
        <v>-404.50849718747378</v>
      </c>
      <c r="K226">
        <f t="shared" si="111"/>
        <v>-293.89262614623652</v>
      </c>
      <c r="M226">
        <v>216</v>
      </c>
      <c r="N226">
        <f t="shared" si="112"/>
        <v>-465.18477176559486</v>
      </c>
      <c r="O226">
        <f t="shared" si="113"/>
        <v>-337.97652006817196</v>
      </c>
      <c r="Q226">
        <f t="shared" si="114"/>
        <v>-176.33557568774191</v>
      </c>
      <c r="R226">
        <f t="shared" si="115"/>
        <v>-242.70509831248427</v>
      </c>
      <c r="S226">
        <f t="shared" si="108"/>
        <v>-324.33557568774188</v>
      </c>
      <c r="T226">
        <f t="shared" si="109"/>
        <v>-242.70509831248427</v>
      </c>
      <c r="V226">
        <f t="shared" si="116"/>
        <v>-176.33557568774191</v>
      </c>
      <c r="W226">
        <f t="shared" si="117"/>
        <v>-242.70509831248427</v>
      </c>
      <c r="X226">
        <f t="shared" si="118"/>
        <v>-324.33557568774188</v>
      </c>
      <c r="Y226">
        <f t="shared" si="119"/>
        <v>-242.70509831248427</v>
      </c>
      <c r="AA226">
        <v>216</v>
      </c>
      <c r="AB226">
        <f t="shared" si="120"/>
        <v>-364.05764746872643</v>
      </c>
      <c r="AC226">
        <f t="shared" si="121"/>
        <v>-264.50336353161288</v>
      </c>
      <c r="AD226">
        <v>216</v>
      </c>
      <c r="AE226">
        <f t="shared" si="122"/>
        <v>-525.86104634371588</v>
      </c>
      <c r="AF226">
        <f t="shared" si="123"/>
        <v>-382.06041399010746</v>
      </c>
      <c r="AV226">
        <v>216</v>
      </c>
      <c r="AW226">
        <f t="shared" si="124"/>
        <v>-566.31189606246335</v>
      </c>
      <c r="AX226">
        <f t="shared" si="125"/>
        <v>-411.44967660473111</v>
      </c>
      <c r="AZ226">
        <f t="shared" si="106"/>
        <v>494.97474683058317</v>
      </c>
      <c r="BA226">
        <f t="shared" si="107"/>
        <v>-494.9747468305834</v>
      </c>
    </row>
    <row r="227" spans="9:53" x14ac:dyDescent="0.25">
      <c r="I227">
        <v>217</v>
      </c>
      <c r="J227">
        <f t="shared" si="110"/>
        <v>-399.3177550236465</v>
      </c>
      <c r="K227">
        <f t="shared" si="111"/>
        <v>-300.90751157602404</v>
      </c>
      <c r="M227">
        <v>217</v>
      </c>
      <c r="N227">
        <f t="shared" si="112"/>
        <v>-459.21541827719352</v>
      </c>
      <c r="O227">
        <f t="shared" si="113"/>
        <v>-346.04363831242762</v>
      </c>
      <c r="Q227">
        <f t="shared" si="114"/>
        <v>-180.54450694561442</v>
      </c>
      <c r="R227">
        <f t="shared" si="115"/>
        <v>-239.59065301418792</v>
      </c>
      <c r="S227">
        <f t="shared" si="108"/>
        <v>-328.54450694561444</v>
      </c>
      <c r="T227">
        <f t="shared" si="109"/>
        <v>-239.59065301418792</v>
      </c>
      <c r="V227">
        <f t="shared" si="116"/>
        <v>-180.54450694561442</v>
      </c>
      <c r="W227">
        <f t="shared" si="117"/>
        <v>-239.59065301418792</v>
      </c>
      <c r="X227">
        <f t="shared" si="118"/>
        <v>-328.54450694561444</v>
      </c>
      <c r="Y227">
        <f t="shared" si="119"/>
        <v>-239.59065301418792</v>
      </c>
      <c r="AA227">
        <v>217</v>
      </c>
      <c r="AB227">
        <f t="shared" si="120"/>
        <v>-359.38597952128185</v>
      </c>
      <c r="AC227">
        <f t="shared" si="121"/>
        <v>-270.81676041842161</v>
      </c>
      <c r="AD227">
        <v>217</v>
      </c>
      <c r="AE227">
        <f t="shared" si="122"/>
        <v>-519.11308153074049</v>
      </c>
      <c r="AF227">
        <f t="shared" si="123"/>
        <v>-391.17976504883126</v>
      </c>
      <c r="AV227">
        <v>217</v>
      </c>
      <c r="AW227">
        <f t="shared" si="124"/>
        <v>-559.04485703310513</v>
      </c>
      <c r="AX227">
        <f t="shared" si="125"/>
        <v>-421.27051620643363</v>
      </c>
      <c r="AZ227">
        <f t="shared" si="106"/>
        <v>494.97474683058317</v>
      </c>
      <c r="BA227">
        <f t="shared" si="107"/>
        <v>-494.9747468305834</v>
      </c>
    </row>
    <row r="228" spans="9:53" x14ac:dyDescent="0.25">
      <c r="I228">
        <v>218</v>
      </c>
      <c r="J228">
        <f t="shared" si="110"/>
        <v>-394.00537680336112</v>
      </c>
      <c r="K228">
        <f t="shared" si="111"/>
        <v>-307.83073766282894</v>
      </c>
      <c r="M228">
        <v>218</v>
      </c>
      <c r="N228">
        <f t="shared" si="112"/>
        <v>-453.10618332386531</v>
      </c>
      <c r="O228">
        <f t="shared" si="113"/>
        <v>-354.00534831225326</v>
      </c>
      <c r="Q228">
        <f t="shared" si="114"/>
        <v>-184.69844259769735</v>
      </c>
      <c r="R228">
        <f t="shared" si="115"/>
        <v>-236.40322608201666</v>
      </c>
      <c r="S228">
        <f t="shared" si="108"/>
        <v>-332.69844259769735</v>
      </c>
      <c r="T228">
        <f t="shared" si="109"/>
        <v>-236.40322608201666</v>
      </c>
      <c r="V228">
        <f t="shared" si="116"/>
        <v>-184.69844259769735</v>
      </c>
      <c r="W228">
        <f t="shared" si="117"/>
        <v>-236.40322608201666</v>
      </c>
      <c r="X228">
        <f t="shared" si="118"/>
        <v>-332.69844259769735</v>
      </c>
      <c r="Y228">
        <f t="shared" si="119"/>
        <v>-236.40322608201666</v>
      </c>
      <c r="AA228">
        <v>218</v>
      </c>
      <c r="AB228">
        <f t="shared" si="120"/>
        <v>-354.60483912302499</v>
      </c>
      <c r="AC228">
        <f t="shared" si="121"/>
        <v>-277.04766389654606</v>
      </c>
      <c r="AD228">
        <v>218</v>
      </c>
      <c r="AE228">
        <f t="shared" si="122"/>
        <v>-512.20698984436945</v>
      </c>
      <c r="AF228">
        <f t="shared" si="123"/>
        <v>-400.17995896167758</v>
      </c>
      <c r="AV228">
        <v>218</v>
      </c>
      <c r="AW228">
        <f t="shared" si="124"/>
        <v>-551.60752752470557</v>
      </c>
      <c r="AX228">
        <f t="shared" si="125"/>
        <v>-430.96303272796047</v>
      </c>
      <c r="AZ228">
        <f t="shared" si="106"/>
        <v>494.97474683058317</v>
      </c>
      <c r="BA228">
        <f t="shared" si="107"/>
        <v>-494.9747468305834</v>
      </c>
    </row>
    <row r="229" spans="9:53" x14ac:dyDescent="0.25">
      <c r="I229">
        <v>219</v>
      </c>
      <c r="J229">
        <f t="shared" si="110"/>
        <v>-388.57298072848539</v>
      </c>
      <c r="K229">
        <f t="shared" si="111"/>
        <v>-314.66019552491883</v>
      </c>
      <c r="M229">
        <v>219</v>
      </c>
      <c r="N229">
        <f t="shared" si="112"/>
        <v>-446.85892783775819</v>
      </c>
      <c r="O229">
        <f t="shared" si="113"/>
        <v>-361.85922485365666</v>
      </c>
      <c r="Q229">
        <f t="shared" si="114"/>
        <v>-188.79611731495129</v>
      </c>
      <c r="R229">
        <f t="shared" si="115"/>
        <v>-233.14378843709125</v>
      </c>
      <c r="S229">
        <f t="shared" si="108"/>
        <v>-336.79611731495129</v>
      </c>
      <c r="T229">
        <f t="shared" si="109"/>
        <v>-233.14378843709125</v>
      </c>
      <c r="V229">
        <f t="shared" si="116"/>
        <v>-188.79611731495129</v>
      </c>
      <c r="W229">
        <f t="shared" si="117"/>
        <v>-233.14378843709125</v>
      </c>
      <c r="X229">
        <f t="shared" si="118"/>
        <v>-336.79611731495129</v>
      </c>
      <c r="Y229">
        <f t="shared" si="119"/>
        <v>-233.14378843709125</v>
      </c>
      <c r="AA229">
        <v>219</v>
      </c>
      <c r="AB229">
        <f t="shared" si="120"/>
        <v>-349.71568265563684</v>
      </c>
      <c r="AC229">
        <f t="shared" si="121"/>
        <v>-283.19417597242693</v>
      </c>
      <c r="AD229">
        <v>219</v>
      </c>
      <c r="AE229">
        <f t="shared" si="122"/>
        <v>-505.14487494703104</v>
      </c>
      <c r="AF229">
        <f t="shared" si="123"/>
        <v>-409.05825418239442</v>
      </c>
      <c r="AV229">
        <v>219</v>
      </c>
      <c r="AW229">
        <f t="shared" si="124"/>
        <v>-544.00217301987959</v>
      </c>
      <c r="AX229">
        <f t="shared" si="125"/>
        <v>-440.52427373488632</v>
      </c>
      <c r="AZ229">
        <f t="shared" si="106"/>
        <v>494.97474683058317</v>
      </c>
      <c r="BA229">
        <f t="shared" si="107"/>
        <v>-494.9747468305834</v>
      </c>
    </row>
    <row r="230" spans="9:53" x14ac:dyDescent="0.25">
      <c r="I230">
        <v>220</v>
      </c>
      <c r="J230">
        <f t="shared" si="110"/>
        <v>-383.02222155948903</v>
      </c>
      <c r="K230">
        <f t="shared" si="111"/>
        <v>-321.39380484326961</v>
      </c>
      <c r="M230">
        <v>220</v>
      </c>
      <c r="N230">
        <f t="shared" si="112"/>
        <v>-440.47555479341236</v>
      </c>
      <c r="O230">
        <f t="shared" si="113"/>
        <v>-369.60287556976004</v>
      </c>
      <c r="Q230">
        <f t="shared" si="114"/>
        <v>-192.83628290596178</v>
      </c>
      <c r="R230">
        <f t="shared" si="115"/>
        <v>-229.81333293569341</v>
      </c>
      <c r="S230">
        <f t="shared" si="108"/>
        <v>-340.83628290596175</v>
      </c>
      <c r="T230">
        <f t="shared" si="109"/>
        <v>-229.81333293569341</v>
      </c>
      <c r="V230">
        <f t="shared" si="116"/>
        <v>-192.83628290596178</v>
      </c>
      <c r="W230">
        <f t="shared" si="117"/>
        <v>-229.81333293569341</v>
      </c>
      <c r="X230">
        <f t="shared" si="118"/>
        <v>-340.83628290596175</v>
      </c>
      <c r="Y230">
        <f t="shared" si="119"/>
        <v>-229.81333293569341</v>
      </c>
      <c r="AA230">
        <v>220</v>
      </c>
      <c r="AB230">
        <f t="shared" si="120"/>
        <v>-344.7199994035401</v>
      </c>
      <c r="AC230">
        <f t="shared" si="121"/>
        <v>-289.25442435894269</v>
      </c>
      <c r="AD230">
        <v>220</v>
      </c>
      <c r="AE230">
        <f t="shared" si="122"/>
        <v>-497.92888802733569</v>
      </c>
      <c r="AF230">
        <f t="shared" si="123"/>
        <v>-417.81194629625054</v>
      </c>
      <c r="AV230">
        <v>220</v>
      </c>
      <c r="AW230">
        <f t="shared" si="124"/>
        <v>-536.23111018328461</v>
      </c>
      <c r="AX230">
        <f t="shared" si="125"/>
        <v>-449.95132678057746</v>
      </c>
      <c r="AZ230">
        <f t="shared" si="106"/>
        <v>494.97474683058317</v>
      </c>
      <c r="BA230">
        <f t="shared" si="107"/>
        <v>-494.9747468305834</v>
      </c>
    </row>
    <row r="231" spans="9:53" x14ac:dyDescent="0.25">
      <c r="I231">
        <v>221</v>
      </c>
      <c r="J231">
        <f t="shared" si="110"/>
        <v>-377.35479011138597</v>
      </c>
      <c r="K231">
        <f t="shared" si="111"/>
        <v>-328.02951449525369</v>
      </c>
      <c r="M231">
        <v>221</v>
      </c>
      <c r="N231">
        <f t="shared" si="112"/>
        <v>-433.95800862809386</v>
      </c>
      <c r="O231">
        <f t="shared" si="113"/>
        <v>-377.23394166954176</v>
      </c>
      <c r="Q231">
        <f t="shared" si="114"/>
        <v>-196.81770869715223</v>
      </c>
      <c r="R231">
        <f t="shared" si="115"/>
        <v>-226.41287406683156</v>
      </c>
      <c r="S231">
        <f t="shared" si="108"/>
        <v>-344.81770869715223</v>
      </c>
      <c r="T231">
        <f t="shared" si="109"/>
        <v>-226.41287406683156</v>
      </c>
      <c r="V231">
        <f t="shared" si="116"/>
        <v>-196.81770869715223</v>
      </c>
      <c r="W231">
        <f t="shared" si="117"/>
        <v>-226.41287406683156</v>
      </c>
      <c r="X231">
        <f t="shared" si="118"/>
        <v>-344.81770869715223</v>
      </c>
      <c r="Y231">
        <f t="shared" si="119"/>
        <v>-226.41287406683156</v>
      </c>
      <c r="AA231">
        <v>221</v>
      </c>
      <c r="AB231">
        <f t="shared" si="120"/>
        <v>-339.61931110024733</v>
      </c>
      <c r="AC231">
        <f t="shared" si="121"/>
        <v>-295.22656304572831</v>
      </c>
      <c r="AD231">
        <v>221</v>
      </c>
      <c r="AE231">
        <f t="shared" si="122"/>
        <v>-490.56122714480176</v>
      </c>
      <c r="AF231">
        <f t="shared" si="123"/>
        <v>-426.43836884382978</v>
      </c>
      <c r="AV231">
        <v>221</v>
      </c>
      <c r="AW231">
        <f t="shared" si="124"/>
        <v>-528.29670615594034</v>
      </c>
      <c r="AX231">
        <f t="shared" si="125"/>
        <v>-459.24132029335516</v>
      </c>
      <c r="AZ231">
        <f t="shared" si="106"/>
        <v>494.97474683058317</v>
      </c>
      <c r="BA231">
        <f t="shared" si="107"/>
        <v>-494.9747468305834</v>
      </c>
    </row>
    <row r="232" spans="9:53" x14ac:dyDescent="0.25">
      <c r="I232">
        <v>222</v>
      </c>
      <c r="J232">
        <f t="shared" si="110"/>
        <v>-371.5724127386971</v>
      </c>
      <c r="K232">
        <f t="shared" si="111"/>
        <v>-334.56530317942912</v>
      </c>
      <c r="M232">
        <v>222</v>
      </c>
      <c r="N232">
        <f t="shared" si="112"/>
        <v>-427.3082746495017</v>
      </c>
      <c r="O232">
        <f t="shared" si="113"/>
        <v>-384.75009865634348</v>
      </c>
      <c r="Q232">
        <f t="shared" si="114"/>
        <v>-200.73918190765747</v>
      </c>
      <c r="R232">
        <f t="shared" si="115"/>
        <v>-222.94344764321826</v>
      </c>
      <c r="S232">
        <f t="shared" si="108"/>
        <v>-348.73918190765744</v>
      </c>
      <c r="T232">
        <f t="shared" si="109"/>
        <v>-222.94344764321826</v>
      </c>
      <c r="V232">
        <f t="shared" si="116"/>
        <v>-200.73918190765747</v>
      </c>
      <c r="W232">
        <f t="shared" si="117"/>
        <v>-222.94344764321826</v>
      </c>
      <c r="X232">
        <f t="shared" si="118"/>
        <v>-348.73918190765744</v>
      </c>
      <c r="Y232">
        <f t="shared" si="119"/>
        <v>-222.94344764321826</v>
      </c>
      <c r="AA232">
        <v>222</v>
      </c>
      <c r="AB232">
        <f t="shared" si="120"/>
        <v>-334.41517146482744</v>
      </c>
      <c r="AC232">
        <f t="shared" si="121"/>
        <v>-301.10877286148622</v>
      </c>
      <c r="AD232">
        <v>222</v>
      </c>
      <c r="AE232">
        <f t="shared" si="122"/>
        <v>-483.04413656030624</v>
      </c>
      <c r="AF232">
        <f t="shared" si="123"/>
        <v>-434.93489413325784</v>
      </c>
      <c r="AV232">
        <v>222</v>
      </c>
      <c r="AW232">
        <f t="shared" si="124"/>
        <v>-520.20137783417601</v>
      </c>
      <c r="AX232">
        <f t="shared" si="125"/>
        <v>-468.39142445120075</v>
      </c>
      <c r="AZ232">
        <f t="shared" si="106"/>
        <v>494.97474683058317</v>
      </c>
      <c r="BA232">
        <f t="shared" si="107"/>
        <v>-494.9747468305834</v>
      </c>
    </row>
    <row r="233" spans="9:53" x14ac:dyDescent="0.25">
      <c r="I233">
        <v>223</v>
      </c>
      <c r="J233">
        <f t="shared" si="110"/>
        <v>-365.67685080958529</v>
      </c>
      <c r="K233">
        <f t="shared" si="111"/>
        <v>-340.99918003124918</v>
      </c>
      <c r="M233">
        <v>223</v>
      </c>
      <c r="N233">
        <f t="shared" si="112"/>
        <v>-420.5283784310231</v>
      </c>
      <c r="O233">
        <f t="shared" si="113"/>
        <v>-392.14905703593655</v>
      </c>
      <c r="Q233">
        <f t="shared" si="114"/>
        <v>-204.5995080187495</v>
      </c>
      <c r="R233">
        <f t="shared" si="115"/>
        <v>-219.40611048575119</v>
      </c>
      <c r="S233">
        <f t="shared" si="108"/>
        <v>-352.59950801874948</v>
      </c>
      <c r="T233">
        <f t="shared" si="109"/>
        <v>-219.40611048575119</v>
      </c>
      <c r="V233">
        <f t="shared" si="116"/>
        <v>-204.5995080187495</v>
      </c>
      <c r="W233">
        <f t="shared" si="117"/>
        <v>-219.40611048575119</v>
      </c>
      <c r="X233">
        <f t="shared" si="118"/>
        <v>-352.59950801874948</v>
      </c>
      <c r="Y233">
        <f t="shared" si="119"/>
        <v>-219.40611048575119</v>
      </c>
      <c r="AA233">
        <v>223</v>
      </c>
      <c r="AB233">
        <f t="shared" si="120"/>
        <v>-329.10916572862675</v>
      </c>
      <c r="AC233">
        <f t="shared" si="121"/>
        <v>-306.89926202812427</v>
      </c>
      <c r="AD233">
        <v>223</v>
      </c>
      <c r="AE233">
        <f t="shared" si="122"/>
        <v>-475.37990605246085</v>
      </c>
      <c r="AF233">
        <f t="shared" si="123"/>
        <v>-443.29893404062392</v>
      </c>
      <c r="AV233">
        <v>223</v>
      </c>
      <c r="AW233">
        <f t="shared" si="124"/>
        <v>-511.94759113341939</v>
      </c>
      <c r="AX233">
        <f t="shared" si="125"/>
        <v>-477.39885204374883</v>
      </c>
      <c r="AZ233">
        <f t="shared" si="106"/>
        <v>494.97474683058317</v>
      </c>
      <c r="BA233">
        <f t="shared" si="107"/>
        <v>-494.9747468305834</v>
      </c>
    </row>
    <row r="234" spans="9:53" x14ac:dyDescent="0.25">
      <c r="I234">
        <v>224</v>
      </c>
      <c r="J234">
        <f t="shared" si="110"/>
        <v>-359.66990016932556</v>
      </c>
      <c r="K234">
        <f t="shared" si="111"/>
        <v>-347.32918522949871</v>
      </c>
      <c r="M234">
        <v>224</v>
      </c>
      <c r="N234">
        <f t="shared" si="112"/>
        <v>-413.62038519472435</v>
      </c>
      <c r="O234">
        <f t="shared" si="113"/>
        <v>-399.42856301392351</v>
      </c>
      <c r="Q234">
        <f t="shared" si="114"/>
        <v>-208.39751113769921</v>
      </c>
      <c r="R234">
        <f t="shared" si="115"/>
        <v>-215.80194010159533</v>
      </c>
      <c r="S234">
        <f t="shared" si="108"/>
        <v>-356.39751113769921</v>
      </c>
      <c r="T234">
        <f t="shared" si="109"/>
        <v>-215.80194010159533</v>
      </c>
      <c r="V234">
        <f t="shared" si="116"/>
        <v>-208.39751113769921</v>
      </c>
      <c r="W234">
        <f t="shared" si="117"/>
        <v>-215.80194010159533</v>
      </c>
      <c r="X234">
        <f t="shared" si="118"/>
        <v>-356.39751113769921</v>
      </c>
      <c r="Y234">
        <f t="shared" si="119"/>
        <v>-215.80194010159533</v>
      </c>
      <c r="AA234">
        <v>224</v>
      </c>
      <c r="AB234">
        <f t="shared" si="120"/>
        <v>-323.70291015239297</v>
      </c>
      <c r="AC234">
        <f t="shared" si="121"/>
        <v>-312.59626670654882</v>
      </c>
      <c r="AD234">
        <v>224</v>
      </c>
      <c r="AE234">
        <f t="shared" si="122"/>
        <v>-467.5708702201232</v>
      </c>
      <c r="AF234">
        <f t="shared" si="123"/>
        <v>-451.52794079834831</v>
      </c>
      <c r="AV234">
        <v>224</v>
      </c>
      <c r="AW234">
        <f t="shared" si="124"/>
        <v>-503.53786023705578</v>
      </c>
      <c r="AX234">
        <f t="shared" si="125"/>
        <v>-486.26085932129814</v>
      </c>
      <c r="AZ234">
        <f t="shared" si="106"/>
        <v>494.97474683058317</v>
      </c>
      <c r="BA234">
        <f t="shared" si="107"/>
        <v>-494.9747468305834</v>
      </c>
    </row>
    <row r="235" spans="9:53" x14ac:dyDescent="0.25">
      <c r="I235">
        <v>225</v>
      </c>
      <c r="J235">
        <f t="shared" si="110"/>
        <v>-353.55339059327383</v>
      </c>
      <c r="K235">
        <f t="shared" si="111"/>
        <v>-353.55339059327372</v>
      </c>
      <c r="M235">
        <v>225</v>
      </c>
      <c r="N235">
        <f t="shared" si="112"/>
        <v>-406.58639918226493</v>
      </c>
      <c r="O235">
        <f t="shared" si="113"/>
        <v>-406.58639918226481</v>
      </c>
      <c r="Q235">
        <f t="shared" si="114"/>
        <v>-212.13203435596424</v>
      </c>
      <c r="R235">
        <f t="shared" si="115"/>
        <v>-212.13203435596429</v>
      </c>
      <c r="S235">
        <f t="shared" si="108"/>
        <v>-360.13203435596427</v>
      </c>
      <c r="T235">
        <f t="shared" si="109"/>
        <v>-212.13203435596429</v>
      </c>
      <c r="V235">
        <f t="shared" si="116"/>
        <v>-212.13203435596424</v>
      </c>
      <c r="W235">
        <f t="shared" si="117"/>
        <v>-212.13203435596429</v>
      </c>
      <c r="X235">
        <f t="shared" si="118"/>
        <v>-360.13203435596427</v>
      </c>
      <c r="Y235">
        <f t="shared" si="119"/>
        <v>-212.13203435596429</v>
      </c>
      <c r="AA235">
        <v>225</v>
      </c>
      <c r="AB235">
        <f t="shared" si="120"/>
        <v>-318.19805153394645</v>
      </c>
      <c r="AC235">
        <f t="shared" si="121"/>
        <v>-318.19805153394634</v>
      </c>
      <c r="AD235">
        <v>225</v>
      </c>
      <c r="AE235">
        <f t="shared" si="122"/>
        <v>-459.61940777125602</v>
      </c>
      <c r="AF235">
        <f t="shared" si="123"/>
        <v>-459.61940777125585</v>
      </c>
      <c r="AV235">
        <v>225</v>
      </c>
      <c r="AW235">
        <f t="shared" si="124"/>
        <v>-494.9747468305834</v>
      </c>
      <c r="AX235">
        <f t="shared" si="125"/>
        <v>-494.97474683058323</v>
      </c>
      <c r="AZ235">
        <f t="shared" si="106"/>
        <v>494.97474683058317</v>
      </c>
      <c r="BA235">
        <f t="shared" si="107"/>
        <v>-494.9747468305834</v>
      </c>
    </row>
    <row r="236" spans="9:53" x14ac:dyDescent="0.25">
      <c r="I236">
        <v>226</v>
      </c>
      <c r="J236">
        <f t="shared" si="110"/>
        <v>-347.32918522949882</v>
      </c>
      <c r="K236">
        <f t="shared" si="111"/>
        <v>-359.66990016932544</v>
      </c>
      <c r="M236">
        <v>226</v>
      </c>
      <c r="N236">
        <f t="shared" si="112"/>
        <v>-399.42856301392362</v>
      </c>
      <c r="O236">
        <f t="shared" si="113"/>
        <v>-413.62038519472424</v>
      </c>
      <c r="Q236">
        <f t="shared" si="114"/>
        <v>-215.80194010159525</v>
      </c>
      <c r="R236">
        <f t="shared" si="115"/>
        <v>-208.39751113769927</v>
      </c>
      <c r="S236">
        <f t="shared" si="108"/>
        <v>-363.80194010159528</v>
      </c>
      <c r="T236">
        <f t="shared" si="109"/>
        <v>-208.39751113769927</v>
      </c>
      <c r="V236">
        <f t="shared" si="116"/>
        <v>-215.80194010159525</v>
      </c>
      <c r="W236">
        <f t="shared" si="117"/>
        <v>-208.39751113769927</v>
      </c>
      <c r="X236">
        <f t="shared" si="118"/>
        <v>-363.80194010159528</v>
      </c>
      <c r="Y236">
        <f t="shared" si="119"/>
        <v>-208.39751113769927</v>
      </c>
      <c r="AA236">
        <v>226</v>
      </c>
      <c r="AB236">
        <f t="shared" si="120"/>
        <v>-312.59626670654893</v>
      </c>
      <c r="AC236">
        <f t="shared" si="121"/>
        <v>-323.70291015239286</v>
      </c>
      <c r="AD236">
        <v>226</v>
      </c>
      <c r="AE236">
        <f t="shared" si="122"/>
        <v>-451.52794079834842</v>
      </c>
      <c r="AF236">
        <f t="shared" si="123"/>
        <v>-467.57087022012308</v>
      </c>
      <c r="AV236">
        <v>226</v>
      </c>
      <c r="AW236">
        <f t="shared" si="124"/>
        <v>-486.26085932129831</v>
      </c>
      <c r="AX236">
        <f t="shared" si="125"/>
        <v>-503.53786023705561</v>
      </c>
      <c r="AZ236">
        <f t="shared" si="106"/>
        <v>494.97474683058317</v>
      </c>
      <c r="BA236">
        <f t="shared" si="107"/>
        <v>-494.9747468305834</v>
      </c>
    </row>
    <row r="237" spans="9:53" x14ac:dyDescent="0.25">
      <c r="I237">
        <v>227</v>
      </c>
      <c r="J237">
        <f t="shared" si="110"/>
        <v>-340.99918003124947</v>
      </c>
      <c r="K237">
        <f t="shared" si="111"/>
        <v>-365.67685080958506</v>
      </c>
      <c r="M237">
        <v>227</v>
      </c>
      <c r="N237">
        <f t="shared" si="112"/>
        <v>-392.14905703593689</v>
      </c>
      <c r="O237">
        <f t="shared" si="113"/>
        <v>-420.52837843102282</v>
      </c>
      <c r="Q237">
        <f t="shared" si="114"/>
        <v>-219.40611048575104</v>
      </c>
      <c r="R237">
        <f t="shared" si="115"/>
        <v>-204.59950801874967</v>
      </c>
      <c r="S237">
        <f t="shared" si="108"/>
        <v>-367.40611048575101</v>
      </c>
      <c r="T237">
        <f t="shared" si="109"/>
        <v>-204.59950801874967</v>
      </c>
      <c r="V237">
        <f t="shared" si="116"/>
        <v>-219.40611048575104</v>
      </c>
      <c r="W237">
        <f t="shared" si="117"/>
        <v>-204.59950801874967</v>
      </c>
      <c r="X237">
        <f t="shared" si="118"/>
        <v>-367.40611048575101</v>
      </c>
      <c r="Y237">
        <f t="shared" si="119"/>
        <v>-204.59950801874967</v>
      </c>
      <c r="AA237">
        <v>227</v>
      </c>
      <c r="AB237">
        <f t="shared" si="120"/>
        <v>-306.8992620281245</v>
      </c>
      <c r="AC237">
        <f t="shared" si="121"/>
        <v>-329.10916572862658</v>
      </c>
      <c r="AD237">
        <v>227</v>
      </c>
      <c r="AE237">
        <f t="shared" si="122"/>
        <v>-443.29893404062432</v>
      </c>
      <c r="AF237">
        <f t="shared" si="123"/>
        <v>-475.37990605246057</v>
      </c>
      <c r="AV237">
        <v>227</v>
      </c>
      <c r="AW237">
        <f t="shared" si="124"/>
        <v>-477.39885204374923</v>
      </c>
      <c r="AX237">
        <f t="shared" si="125"/>
        <v>-511.94759113341911</v>
      </c>
      <c r="AZ237">
        <f t="shared" si="106"/>
        <v>494.97474683058317</v>
      </c>
      <c r="BA237">
        <f t="shared" si="107"/>
        <v>-494.9747468305834</v>
      </c>
    </row>
    <row r="238" spans="9:53" x14ac:dyDescent="0.25">
      <c r="I238">
        <v>228</v>
      </c>
      <c r="J238">
        <f t="shared" si="110"/>
        <v>-334.56530317942924</v>
      </c>
      <c r="K238">
        <f t="shared" si="111"/>
        <v>-371.57241273869704</v>
      </c>
      <c r="M238">
        <v>228</v>
      </c>
      <c r="N238">
        <f t="shared" si="112"/>
        <v>-384.7500986563436</v>
      </c>
      <c r="O238">
        <f t="shared" si="113"/>
        <v>-427.30827464950158</v>
      </c>
      <c r="Q238">
        <f t="shared" si="114"/>
        <v>-222.94344764321821</v>
      </c>
      <c r="R238">
        <f t="shared" si="115"/>
        <v>-200.73918190765752</v>
      </c>
      <c r="S238">
        <f t="shared" si="108"/>
        <v>-370.94344764321818</v>
      </c>
      <c r="T238">
        <f t="shared" si="109"/>
        <v>-200.73918190765752</v>
      </c>
      <c r="V238">
        <f t="shared" si="116"/>
        <v>-222.94344764321821</v>
      </c>
      <c r="W238">
        <f t="shared" si="117"/>
        <v>-200.73918190765752</v>
      </c>
      <c r="X238">
        <f t="shared" si="118"/>
        <v>-370.94344764321818</v>
      </c>
      <c r="Y238">
        <f t="shared" si="119"/>
        <v>-200.73918190765752</v>
      </c>
      <c r="AA238">
        <v>228</v>
      </c>
      <c r="AB238">
        <f t="shared" si="120"/>
        <v>-301.10877286148633</v>
      </c>
      <c r="AC238">
        <f t="shared" si="121"/>
        <v>-334.41517146482732</v>
      </c>
      <c r="AD238">
        <v>228</v>
      </c>
      <c r="AE238">
        <f t="shared" si="122"/>
        <v>-434.93489413325801</v>
      </c>
      <c r="AF238">
        <f t="shared" si="123"/>
        <v>-483.04413656030613</v>
      </c>
      <c r="AV238">
        <v>228</v>
      </c>
      <c r="AW238">
        <f t="shared" si="124"/>
        <v>-468.39142445120092</v>
      </c>
      <c r="AX238">
        <f t="shared" si="125"/>
        <v>-520.20137783417579</v>
      </c>
      <c r="AZ238">
        <f t="shared" si="106"/>
        <v>494.97474683058317</v>
      </c>
      <c r="BA238">
        <f t="shared" si="107"/>
        <v>-494.9747468305834</v>
      </c>
    </row>
    <row r="239" spans="9:53" x14ac:dyDescent="0.25">
      <c r="I239">
        <v>229</v>
      </c>
      <c r="J239">
        <f t="shared" si="110"/>
        <v>-328.02951449525381</v>
      </c>
      <c r="K239">
        <f t="shared" si="111"/>
        <v>-377.35479011138585</v>
      </c>
      <c r="M239">
        <v>229</v>
      </c>
      <c r="N239">
        <f t="shared" si="112"/>
        <v>-377.23394166954188</v>
      </c>
      <c r="O239">
        <f t="shared" si="113"/>
        <v>-433.95800862809369</v>
      </c>
      <c r="Q239">
        <f t="shared" si="114"/>
        <v>-226.41287406683151</v>
      </c>
      <c r="R239">
        <f t="shared" si="115"/>
        <v>-196.81770869715228</v>
      </c>
      <c r="S239">
        <f t="shared" si="108"/>
        <v>-374.41287406683148</v>
      </c>
      <c r="T239">
        <f t="shared" si="109"/>
        <v>-196.81770869715228</v>
      </c>
      <c r="V239">
        <f t="shared" si="116"/>
        <v>-226.41287406683151</v>
      </c>
      <c r="W239">
        <f t="shared" si="117"/>
        <v>-196.81770869715228</v>
      </c>
      <c r="X239">
        <f t="shared" si="118"/>
        <v>-374.41287406683148</v>
      </c>
      <c r="Y239">
        <f t="shared" si="119"/>
        <v>-196.81770869715228</v>
      </c>
      <c r="AA239">
        <v>229</v>
      </c>
      <c r="AB239">
        <f t="shared" si="120"/>
        <v>-295.22656304572843</v>
      </c>
      <c r="AC239">
        <f t="shared" si="121"/>
        <v>-339.61931110024727</v>
      </c>
      <c r="AD239">
        <v>229</v>
      </c>
      <c r="AE239">
        <f t="shared" si="122"/>
        <v>-426.43836884382995</v>
      </c>
      <c r="AF239">
        <f t="shared" si="123"/>
        <v>-490.56122714480159</v>
      </c>
      <c r="AV239">
        <v>229</v>
      </c>
      <c r="AW239">
        <f t="shared" si="124"/>
        <v>-459.24132029335533</v>
      </c>
      <c r="AX239">
        <f t="shared" si="125"/>
        <v>-528.29670615594023</v>
      </c>
      <c r="AZ239">
        <f t="shared" si="106"/>
        <v>494.97474683058317</v>
      </c>
      <c r="BA239">
        <f t="shared" si="107"/>
        <v>-494.9747468305834</v>
      </c>
    </row>
    <row r="240" spans="9:53" x14ac:dyDescent="0.25">
      <c r="I240">
        <v>230</v>
      </c>
      <c r="J240">
        <f t="shared" si="110"/>
        <v>-321.39380484326972</v>
      </c>
      <c r="K240">
        <f t="shared" si="111"/>
        <v>-383.02222155948897</v>
      </c>
      <c r="M240">
        <v>230</v>
      </c>
      <c r="N240">
        <f t="shared" si="112"/>
        <v>-369.60287556976022</v>
      </c>
      <c r="O240">
        <f t="shared" si="113"/>
        <v>-440.4755547934123</v>
      </c>
      <c r="Q240">
        <f t="shared" si="114"/>
        <v>-229.81333293569338</v>
      </c>
      <c r="R240">
        <f t="shared" si="115"/>
        <v>-192.83628290596184</v>
      </c>
      <c r="S240">
        <f t="shared" si="108"/>
        <v>-377.81333293569338</v>
      </c>
      <c r="T240">
        <f t="shared" si="109"/>
        <v>-192.83628290596184</v>
      </c>
      <c r="V240">
        <f t="shared" si="116"/>
        <v>-229.81333293569338</v>
      </c>
      <c r="W240">
        <f t="shared" si="117"/>
        <v>-192.83628290596184</v>
      </c>
      <c r="X240">
        <f t="shared" si="118"/>
        <v>-377.81333293569338</v>
      </c>
      <c r="Y240">
        <f t="shared" si="119"/>
        <v>-192.83628290596184</v>
      </c>
      <c r="AA240">
        <v>230</v>
      </c>
      <c r="AB240">
        <f t="shared" si="120"/>
        <v>-289.25442435894274</v>
      </c>
      <c r="AC240">
        <f t="shared" si="121"/>
        <v>-344.71999940354004</v>
      </c>
      <c r="AD240">
        <v>230</v>
      </c>
      <c r="AE240">
        <f t="shared" si="122"/>
        <v>-417.81194629625065</v>
      </c>
      <c r="AF240">
        <f t="shared" si="123"/>
        <v>-497.92888802733563</v>
      </c>
      <c r="AV240">
        <v>230</v>
      </c>
      <c r="AW240">
        <f t="shared" si="124"/>
        <v>-449.95132678057763</v>
      </c>
      <c r="AX240">
        <f t="shared" si="125"/>
        <v>-536.2311101832845</v>
      </c>
      <c r="AZ240">
        <f t="shared" si="106"/>
        <v>494.97474683058317</v>
      </c>
      <c r="BA240">
        <f t="shared" si="107"/>
        <v>-494.9747468305834</v>
      </c>
    </row>
    <row r="241" spans="9:53" x14ac:dyDescent="0.25">
      <c r="I241">
        <v>231</v>
      </c>
      <c r="J241">
        <f t="shared" si="110"/>
        <v>-314.66019552491861</v>
      </c>
      <c r="K241">
        <f t="shared" si="111"/>
        <v>-388.57298072848556</v>
      </c>
      <c r="M241">
        <v>231</v>
      </c>
      <c r="N241">
        <f t="shared" si="112"/>
        <v>-361.85922485365637</v>
      </c>
      <c r="O241">
        <f t="shared" si="113"/>
        <v>-446.85892783775842</v>
      </c>
      <c r="Q241">
        <f t="shared" si="114"/>
        <v>-233.14378843709133</v>
      </c>
      <c r="R241">
        <f t="shared" si="115"/>
        <v>-188.79611731495115</v>
      </c>
      <c r="S241">
        <f t="shared" si="108"/>
        <v>-381.1437884370913</v>
      </c>
      <c r="T241">
        <f t="shared" si="109"/>
        <v>-188.79611731495115</v>
      </c>
      <c r="V241">
        <f t="shared" si="116"/>
        <v>-233.14378843709133</v>
      </c>
      <c r="W241">
        <f t="shared" si="117"/>
        <v>-188.79611731495115</v>
      </c>
      <c r="X241">
        <f t="shared" si="118"/>
        <v>-381.1437884370913</v>
      </c>
      <c r="Y241">
        <f t="shared" si="119"/>
        <v>-188.79611731495115</v>
      </c>
      <c r="AA241">
        <v>231</v>
      </c>
      <c r="AB241">
        <f t="shared" si="120"/>
        <v>-283.19417597242671</v>
      </c>
      <c r="AC241">
        <f t="shared" si="121"/>
        <v>-349.71568265563701</v>
      </c>
      <c r="AD241">
        <v>231</v>
      </c>
      <c r="AE241">
        <f t="shared" si="122"/>
        <v>-409.05825418239414</v>
      </c>
      <c r="AF241">
        <f t="shared" si="123"/>
        <v>-505.14487494703121</v>
      </c>
      <c r="AV241">
        <v>231</v>
      </c>
      <c r="AW241">
        <f t="shared" si="124"/>
        <v>-440.52427373488604</v>
      </c>
      <c r="AX241">
        <f t="shared" si="125"/>
        <v>-544.00217301987982</v>
      </c>
      <c r="AZ241">
        <f t="shared" si="106"/>
        <v>494.97474683058317</v>
      </c>
      <c r="BA241">
        <f t="shared" si="107"/>
        <v>-494.9747468305834</v>
      </c>
    </row>
    <row r="242" spans="9:53" x14ac:dyDescent="0.25">
      <c r="I242">
        <v>232</v>
      </c>
      <c r="J242">
        <f t="shared" si="110"/>
        <v>-307.83073766282905</v>
      </c>
      <c r="K242">
        <f t="shared" si="111"/>
        <v>-394.00537680336106</v>
      </c>
      <c r="M242">
        <v>232</v>
      </c>
      <c r="N242">
        <f t="shared" si="112"/>
        <v>-354.00534831225337</v>
      </c>
      <c r="O242">
        <f t="shared" si="113"/>
        <v>-453.1061833238652</v>
      </c>
      <c r="Q242">
        <f t="shared" si="114"/>
        <v>-236.40322608201663</v>
      </c>
      <c r="R242">
        <f t="shared" si="115"/>
        <v>-184.69844259769741</v>
      </c>
      <c r="S242">
        <f t="shared" si="108"/>
        <v>-384.40322608201666</v>
      </c>
      <c r="T242">
        <f t="shared" si="109"/>
        <v>-184.69844259769741</v>
      </c>
      <c r="V242">
        <f t="shared" si="116"/>
        <v>-236.40322608201663</v>
      </c>
      <c r="W242">
        <f t="shared" si="117"/>
        <v>-184.69844259769741</v>
      </c>
      <c r="X242">
        <f t="shared" si="118"/>
        <v>-384.40322608201666</v>
      </c>
      <c r="Y242">
        <f t="shared" si="119"/>
        <v>-184.69844259769741</v>
      </c>
      <c r="AA242">
        <v>232</v>
      </c>
      <c r="AB242">
        <f t="shared" si="120"/>
        <v>-277.04766389654611</v>
      </c>
      <c r="AC242">
        <f t="shared" si="121"/>
        <v>-354.60483912302493</v>
      </c>
      <c r="AD242">
        <v>232</v>
      </c>
      <c r="AE242">
        <f t="shared" si="122"/>
        <v>-400.17995896167776</v>
      </c>
      <c r="AF242">
        <f t="shared" si="123"/>
        <v>-512.20698984436933</v>
      </c>
      <c r="AV242">
        <v>232</v>
      </c>
      <c r="AW242">
        <f t="shared" si="124"/>
        <v>-430.96303272796064</v>
      </c>
      <c r="AX242">
        <f t="shared" si="125"/>
        <v>-551.60752752470546</v>
      </c>
      <c r="AZ242">
        <f t="shared" si="106"/>
        <v>494.97474683058317</v>
      </c>
      <c r="BA242">
        <f t="shared" si="107"/>
        <v>-494.9747468305834</v>
      </c>
    </row>
    <row r="243" spans="9:53" x14ac:dyDescent="0.25">
      <c r="I243">
        <v>233</v>
      </c>
      <c r="J243">
        <f t="shared" si="110"/>
        <v>-300.90751157602415</v>
      </c>
      <c r="K243">
        <f t="shared" si="111"/>
        <v>-399.31775502364644</v>
      </c>
      <c r="M243">
        <v>233</v>
      </c>
      <c r="N243">
        <f t="shared" si="112"/>
        <v>-346.04363831242773</v>
      </c>
      <c r="O243">
        <f t="shared" si="113"/>
        <v>-459.21541827719335</v>
      </c>
      <c r="Q243">
        <f t="shared" si="114"/>
        <v>-239.59065301418784</v>
      </c>
      <c r="R243">
        <f t="shared" si="115"/>
        <v>-180.54450694561447</v>
      </c>
      <c r="S243">
        <f t="shared" si="108"/>
        <v>-387.59065301418786</v>
      </c>
      <c r="T243">
        <f t="shared" si="109"/>
        <v>-180.54450694561447</v>
      </c>
      <c r="V243">
        <f t="shared" si="116"/>
        <v>-239.59065301418784</v>
      </c>
      <c r="W243">
        <f t="shared" si="117"/>
        <v>-180.54450694561447</v>
      </c>
      <c r="X243">
        <f t="shared" si="118"/>
        <v>-387.59065301418786</v>
      </c>
      <c r="Y243">
        <f t="shared" si="119"/>
        <v>-180.54450694561447</v>
      </c>
      <c r="AA243">
        <v>233</v>
      </c>
      <c r="AB243">
        <f t="shared" si="120"/>
        <v>-270.81676041842172</v>
      </c>
      <c r="AC243">
        <f t="shared" si="121"/>
        <v>-359.3859795212818</v>
      </c>
      <c r="AD243">
        <v>233</v>
      </c>
      <c r="AE243">
        <f t="shared" si="122"/>
        <v>-391.17976504883137</v>
      </c>
      <c r="AF243">
        <f t="shared" si="123"/>
        <v>-519.11308153074037</v>
      </c>
      <c r="AV243">
        <v>233</v>
      </c>
      <c r="AW243">
        <f t="shared" si="124"/>
        <v>-421.2705162064338</v>
      </c>
      <c r="AX243">
        <f t="shared" si="125"/>
        <v>-559.04485703310502</v>
      </c>
      <c r="AZ243">
        <f t="shared" si="106"/>
        <v>494.97474683058317</v>
      </c>
      <c r="BA243">
        <f t="shared" si="107"/>
        <v>-494.9747468305834</v>
      </c>
    </row>
    <row r="244" spans="9:53" x14ac:dyDescent="0.25">
      <c r="I244">
        <v>234</v>
      </c>
      <c r="J244">
        <f t="shared" si="110"/>
        <v>-293.89262614623664</v>
      </c>
      <c r="K244">
        <f t="shared" si="111"/>
        <v>-404.50849718747367</v>
      </c>
      <c r="M244">
        <v>234</v>
      </c>
      <c r="N244">
        <f t="shared" si="112"/>
        <v>-337.97652006817214</v>
      </c>
      <c r="O244">
        <f t="shared" si="113"/>
        <v>-465.18477176559475</v>
      </c>
      <c r="Q244">
        <f t="shared" si="114"/>
        <v>-242.70509831248421</v>
      </c>
      <c r="R244">
        <f t="shared" si="115"/>
        <v>-176.33557568774197</v>
      </c>
      <c r="S244">
        <f t="shared" si="108"/>
        <v>-390.70509831248421</v>
      </c>
      <c r="T244">
        <f t="shared" si="109"/>
        <v>-176.33557568774197</v>
      </c>
      <c r="V244">
        <f t="shared" si="116"/>
        <v>-242.70509831248421</v>
      </c>
      <c r="W244">
        <f t="shared" si="117"/>
        <v>-176.33557568774197</v>
      </c>
      <c r="X244">
        <f t="shared" si="118"/>
        <v>-390.70509831248421</v>
      </c>
      <c r="Y244">
        <f t="shared" si="119"/>
        <v>-176.33557568774197</v>
      </c>
      <c r="AA244">
        <v>234</v>
      </c>
      <c r="AB244">
        <f t="shared" si="120"/>
        <v>-264.50336353161293</v>
      </c>
      <c r="AC244">
        <f t="shared" si="121"/>
        <v>-364.05764746872632</v>
      </c>
      <c r="AD244">
        <v>234</v>
      </c>
      <c r="AE244">
        <f t="shared" si="122"/>
        <v>-382.06041399010763</v>
      </c>
      <c r="AF244">
        <f t="shared" si="123"/>
        <v>-525.86104634371577</v>
      </c>
      <c r="AV244">
        <v>234</v>
      </c>
      <c r="AW244">
        <f t="shared" si="124"/>
        <v>-411.44967660473128</v>
      </c>
      <c r="AX244">
        <f t="shared" si="125"/>
        <v>-566.31189606246312</v>
      </c>
      <c r="AZ244">
        <f t="shared" si="106"/>
        <v>494.97474683058317</v>
      </c>
      <c r="BA244">
        <f t="shared" si="107"/>
        <v>-494.9747468305834</v>
      </c>
    </row>
    <row r="245" spans="9:53" x14ac:dyDescent="0.25">
      <c r="I245">
        <v>235</v>
      </c>
      <c r="J245">
        <f t="shared" si="110"/>
        <v>-286.78821817552318</v>
      </c>
      <c r="K245">
        <f t="shared" si="111"/>
        <v>-409.57602214449577</v>
      </c>
      <c r="M245">
        <v>235</v>
      </c>
      <c r="N245">
        <f t="shared" si="112"/>
        <v>-329.80645090185169</v>
      </c>
      <c r="O245">
        <f t="shared" si="113"/>
        <v>-471.01242546617016</v>
      </c>
      <c r="Q245">
        <f t="shared" si="114"/>
        <v>-245.74561328669748</v>
      </c>
      <c r="R245">
        <f t="shared" si="115"/>
        <v>-172.07293090531391</v>
      </c>
      <c r="S245">
        <f t="shared" si="108"/>
        <v>-393.74561328669745</v>
      </c>
      <c r="T245">
        <f t="shared" si="109"/>
        <v>-172.07293090531391</v>
      </c>
      <c r="V245">
        <f t="shared" si="116"/>
        <v>-245.74561328669748</v>
      </c>
      <c r="W245">
        <f t="shared" si="117"/>
        <v>-172.07293090531391</v>
      </c>
      <c r="X245">
        <f t="shared" si="118"/>
        <v>-393.74561328669745</v>
      </c>
      <c r="Y245">
        <f t="shared" si="119"/>
        <v>-172.07293090531391</v>
      </c>
      <c r="AA245">
        <v>235</v>
      </c>
      <c r="AB245">
        <f t="shared" si="120"/>
        <v>-258.10939635797087</v>
      </c>
      <c r="AC245">
        <f t="shared" si="121"/>
        <v>-368.61841993004623</v>
      </c>
      <c r="AD245">
        <v>235</v>
      </c>
      <c r="AE245">
        <f t="shared" si="122"/>
        <v>-372.82468362818014</v>
      </c>
      <c r="AF245">
        <f t="shared" si="123"/>
        <v>-532.44882878784449</v>
      </c>
      <c r="AV245">
        <v>235</v>
      </c>
      <c r="AW245">
        <f t="shared" si="124"/>
        <v>-401.50350544573246</v>
      </c>
      <c r="AX245">
        <f t="shared" si="125"/>
        <v>-573.40643100229408</v>
      </c>
      <c r="AZ245">
        <f t="shared" si="106"/>
        <v>494.97474683058317</v>
      </c>
      <c r="BA245">
        <f t="shared" si="107"/>
        <v>-494.9747468305834</v>
      </c>
    </row>
    <row r="246" spans="9:53" x14ac:dyDescent="0.25">
      <c r="I246">
        <v>236</v>
      </c>
      <c r="J246">
        <f t="shared" si="110"/>
        <v>-279.59645173537359</v>
      </c>
      <c r="K246">
        <f t="shared" si="111"/>
        <v>-414.51878627752069</v>
      </c>
      <c r="M246">
        <v>236</v>
      </c>
      <c r="N246">
        <f t="shared" si="112"/>
        <v>-321.53591949567965</v>
      </c>
      <c r="O246">
        <f t="shared" si="113"/>
        <v>-476.69660421914881</v>
      </c>
      <c r="Q246">
        <f t="shared" si="114"/>
        <v>-248.71127176651243</v>
      </c>
      <c r="R246">
        <f t="shared" si="115"/>
        <v>-167.75787104122418</v>
      </c>
      <c r="S246">
        <f t="shared" si="108"/>
        <v>-396.71127176651243</v>
      </c>
      <c r="T246">
        <f t="shared" si="109"/>
        <v>-167.75787104122418</v>
      </c>
      <c r="V246">
        <f t="shared" si="116"/>
        <v>-248.71127176651243</v>
      </c>
      <c r="W246">
        <f t="shared" si="117"/>
        <v>-167.75787104122418</v>
      </c>
      <c r="X246">
        <f t="shared" si="118"/>
        <v>-396.71127176651243</v>
      </c>
      <c r="Y246">
        <f t="shared" si="119"/>
        <v>-167.75787104122418</v>
      </c>
      <c r="AA246">
        <v>236</v>
      </c>
      <c r="AB246">
        <f t="shared" si="120"/>
        <v>-251.63680656183627</v>
      </c>
      <c r="AC246">
        <f t="shared" si="121"/>
        <v>-373.06690764976861</v>
      </c>
      <c r="AD246">
        <v>236</v>
      </c>
      <c r="AE246">
        <f t="shared" si="122"/>
        <v>-363.47538725598571</v>
      </c>
      <c r="AF246">
        <f t="shared" si="123"/>
        <v>-538.87442216077693</v>
      </c>
      <c r="AV246">
        <v>236</v>
      </c>
      <c r="AW246">
        <f t="shared" si="124"/>
        <v>-391.43503242952306</v>
      </c>
      <c r="AX246">
        <f t="shared" si="125"/>
        <v>-580.32630078852901</v>
      </c>
      <c r="AZ246">
        <f t="shared" si="106"/>
        <v>494.97474683058317</v>
      </c>
      <c r="BA246">
        <f t="shared" si="107"/>
        <v>-494.9747468305834</v>
      </c>
    </row>
    <row r="247" spans="9:53" x14ac:dyDescent="0.25">
      <c r="I247">
        <v>237</v>
      </c>
      <c r="J247">
        <f t="shared" si="110"/>
        <v>-272.31951750751347</v>
      </c>
      <c r="K247">
        <f t="shared" si="111"/>
        <v>-419.33528397271203</v>
      </c>
      <c r="M247">
        <v>237</v>
      </c>
      <c r="N247">
        <f t="shared" si="112"/>
        <v>-313.16744513364051</v>
      </c>
      <c r="O247">
        <f t="shared" si="113"/>
        <v>-482.23557656861885</v>
      </c>
      <c r="Q247">
        <f t="shared" si="114"/>
        <v>-251.60117038362722</v>
      </c>
      <c r="R247">
        <f t="shared" si="115"/>
        <v>-163.3917105045081</v>
      </c>
      <c r="S247">
        <f t="shared" si="108"/>
        <v>-399.60117038362722</v>
      </c>
      <c r="T247">
        <f t="shared" si="109"/>
        <v>-163.3917105045081</v>
      </c>
      <c r="V247">
        <f t="shared" si="116"/>
        <v>-251.60117038362722</v>
      </c>
      <c r="W247">
        <f t="shared" si="117"/>
        <v>-163.3917105045081</v>
      </c>
      <c r="X247">
        <f t="shared" si="118"/>
        <v>-399.60117038362722</v>
      </c>
      <c r="Y247">
        <f t="shared" si="119"/>
        <v>-163.3917105045081</v>
      </c>
      <c r="AA247">
        <v>237</v>
      </c>
      <c r="AB247">
        <f t="shared" si="120"/>
        <v>-245.08756575676213</v>
      </c>
      <c r="AC247">
        <f t="shared" si="121"/>
        <v>-377.4017555754408</v>
      </c>
      <c r="AD247">
        <v>237</v>
      </c>
      <c r="AE247">
        <f t="shared" si="122"/>
        <v>-354.01537275976756</v>
      </c>
      <c r="AF247">
        <f t="shared" si="123"/>
        <v>-545.13586916452562</v>
      </c>
      <c r="AV247">
        <v>237</v>
      </c>
      <c r="AW247">
        <f t="shared" si="124"/>
        <v>-381.24732451051887</v>
      </c>
      <c r="AX247">
        <f t="shared" si="125"/>
        <v>-587.06939756179679</v>
      </c>
      <c r="AZ247">
        <f t="shared" si="106"/>
        <v>494.97474683058317</v>
      </c>
      <c r="BA247">
        <f t="shared" si="107"/>
        <v>-494.9747468305834</v>
      </c>
    </row>
    <row r="248" spans="9:53" x14ac:dyDescent="0.25">
      <c r="I248">
        <v>238</v>
      </c>
      <c r="J248">
        <f t="shared" si="110"/>
        <v>-264.95963211660251</v>
      </c>
      <c r="K248">
        <f t="shared" si="111"/>
        <v>-424.02404807821296</v>
      </c>
      <c r="M248">
        <v>238</v>
      </c>
      <c r="N248">
        <f t="shared" si="112"/>
        <v>-304.70357693409289</v>
      </c>
      <c r="O248">
        <f t="shared" si="113"/>
        <v>-487.62765528994493</v>
      </c>
      <c r="Q248">
        <f t="shared" si="114"/>
        <v>-254.41442884692779</v>
      </c>
      <c r="R248">
        <f t="shared" si="115"/>
        <v>-158.97577926996149</v>
      </c>
      <c r="S248">
        <f t="shared" si="108"/>
        <v>-402.41442884692776</v>
      </c>
      <c r="T248">
        <f t="shared" si="109"/>
        <v>-158.97577926996149</v>
      </c>
      <c r="V248">
        <f t="shared" si="116"/>
        <v>-254.41442884692779</v>
      </c>
      <c r="W248">
        <f t="shared" si="117"/>
        <v>-158.97577926996149</v>
      </c>
      <c r="X248">
        <f t="shared" si="118"/>
        <v>-402.41442884692776</v>
      </c>
      <c r="Y248">
        <f t="shared" si="119"/>
        <v>-158.97577926996149</v>
      </c>
      <c r="AA248">
        <v>238</v>
      </c>
      <c r="AB248">
        <f t="shared" si="120"/>
        <v>-238.46366890494227</v>
      </c>
      <c r="AC248">
        <f t="shared" si="121"/>
        <v>-381.6216432703917</v>
      </c>
      <c r="AD248">
        <v>238</v>
      </c>
      <c r="AE248">
        <f t="shared" si="122"/>
        <v>-344.44752175158328</v>
      </c>
      <c r="AF248">
        <f t="shared" si="123"/>
        <v>-551.23126250167684</v>
      </c>
      <c r="AV248">
        <v>238</v>
      </c>
      <c r="AW248">
        <f t="shared" si="124"/>
        <v>-370.94348496324352</v>
      </c>
      <c r="AX248">
        <f t="shared" si="125"/>
        <v>-593.63366730949815</v>
      </c>
      <c r="AZ248">
        <f t="shared" si="106"/>
        <v>494.97474683058317</v>
      </c>
      <c r="BA248">
        <f t="shared" si="107"/>
        <v>-494.9747468305834</v>
      </c>
    </row>
    <row r="249" spans="9:53" x14ac:dyDescent="0.25">
      <c r="I249">
        <v>239</v>
      </c>
      <c r="J249">
        <f t="shared" si="110"/>
        <v>-257.51903745502722</v>
      </c>
      <c r="K249">
        <f t="shared" si="111"/>
        <v>-428.58365035105606</v>
      </c>
      <c r="M249">
        <v>239</v>
      </c>
      <c r="N249">
        <f t="shared" si="112"/>
        <v>-296.14689307328132</v>
      </c>
      <c r="O249">
        <f t="shared" si="113"/>
        <v>-492.87119790371446</v>
      </c>
      <c r="Q249">
        <f t="shared" si="114"/>
        <v>-257.15019021063364</v>
      </c>
      <c r="R249">
        <f t="shared" si="115"/>
        <v>-154.51142247301635</v>
      </c>
      <c r="S249">
        <f t="shared" si="108"/>
        <v>-405.15019021063364</v>
      </c>
      <c r="T249">
        <f t="shared" si="109"/>
        <v>-154.51142247301635</v>
      </c>
      <c r="V249">
        <f t="shared" si="116"/>
        <v>-257.15019021063364</v>
      </c>
      <c r="W249">
        <f t="shared" si="117"/>
        <v>-154.51142247301635</v>
      </c>
      <c r="X249">
        <f t="shared" si="118"/>
        <v>-405.15019021063364</v>
      </c>
      <c r="Y249">
        <f t="shared" si="119"/>
        <v>-154.51142247301635</v>
      </c>
      <c r="AA249">
        <v>239</v>
      </c>
      <c r="AB249">
        <f t="shared" si="120"/>
        <v>-231.76713370952453</v>
      </c>
      <c r="AC249">
        <f t="shared" si="121"/>
        <v>-385.72528531595043</v>
      </c>
      <c r="AD249">
        <v>239</v>
      </c>
      <c r="AE249">
        <f t="shared" si="122"/>
        <v>-334.77474869153542</v>
      </c>
      <c r="AF249">
        <f t="shared" si="123"/>
        <v>-557.15874545637291</v>
      </c>
      <c r="AV249">
        <v>239</v>
      </c>
      <c r="AW249">
        <f t="shared" si="124"/>
        <v>-360.52665243703814</v>
      </c>
      <c r="AX249">
        <f t="shared" si="125"/>
        <v>-600.01711049147843</v>
      </c>
      <c r="AZ249">
        <f t="shared" si="106"/>
        <v>494.97474683058317</v>
      </c>
      <c r="BA249">
        <f t="shared" si="107"/>
        <v>-494.9747468305834</v>
      </c>
    </row>
    <row r="250" spans="9:53" x14ac:dyDescent="0.25">
      <c r="I250">
        <v>240</v>
      </c>
      <c r="J250">
        <f t="shared" si="110"/>
        <v>-250.00000000000023</v>
      </c>
      <c r="K250">
        <f t="shared" si="111"/>
        <v>-433.01270189221918</v>
      </c>
      <c r="M250">
        <v>240</v>
      </c>
      <c r="N250">
        <f t="shared" si="112"/>
        <v>-287.50000000000023</v>
      </c>
      <c r="O250">
        <f t="shared" si="113"/>
        <v>-497.96460717605208</v>
      </c>
      <c r="Q250">
        <f t="shared" si="114"/>
        <v>-259.80762113533149</v>
      </c>
      <c r="R250">
        <f t="shared" si="115"/>
        <v>-150.00000000000014</v>
      </c>
      <c r="S250">
        <f t="shared" si="108"/>
        <v>-407.80762113533149</v>
      </c>
      <c r="T250">
        <f t="shared" si="109"/>
        <v>-150.00000000000014</v>
      </c>
      <c r="V250">
        <f t="shared" si="116"/>
        <v>-259.80762113533149</v>
      </c>
      <c r="W250">
        <f t="shared" si="117"/>
        <v>-150.00000000000014</v>
      </c>
      <c r="X250">
        <f t="shared" si="118"/>
        <v>-407.80762113533149</v>
      </c>
      <c r="Y250">
        <f t="shared" si="119"/>
        <v>-150.00000000000014</v>
      </c>
      <c r="AA250">
        <v>240</v>
      </c>
      <c r="AB250">
        <f t="shared" si="120"/>
        <v>-225.0000000000002</v>
      </c>
      <c r="AC250">
        <f t="shared" si="121"/>
        <v>-389.71143170299729</v>
      </c>
      <c r="AD250">
        <v>240</v>
      </c>
      <c r="AE250">
        <f t="shared" si="122"/>
        <v>-325.00000000000028</v>
      </c>
      <c r="AF250">
        <f t="shared" si="123"/>
        <v>-562.91651245988498</v>
      </c>
      <c r="AV250">
        <v>240</v>
      </c>
      <c r="AW250">
        <f t="shared" si="124"/>
        <v>-350.00000000000028</v>
      </c>
      <c r="AX250">
        <f t="shared" si="125"/>
        <v>-606.21778264910688</v>
      </c>
      <c r="AZ250">
        <f t="shared" si="106"/>
        <v>494.97474683058317</v>
      </c>
      <c r="BA250">
        <f t="shared" si="107"/>
        <v>-494.9747468305834</v>
      </c>
    </row>
    <row r="251" spans="9:53" x14ac:dyDescent="0.25">
      <c r="I251">
        <v>241</v>
      </c>
      <c r="J251">
        <f t="shared" si="110"/>
        <v>-242.40481012316843</v>
      </c>
      <c r="K251">
        <f t="shared" si="111"/>
        <v>-437.30985356969796</v>
      </c>
      <c r="M251">
        <v>241</v>
      </c>
      <c r="N251">
        <f t="shared" si="112"/>
        <v>-278.76553164164369</v>
      </c>
      <c r="O251">
        <f t="shared" si="113"/>
        <v>-502.90633160515267</v>
      </c>
      <c r="Q251">
        <f t="shared" si="114"/>
        <v>-262.38591214181878</v>
      </c>
      <c r="R251">
        <f t="shared" si="115"/>
        <v>-145.44288607390106</v>
      </c>
      <c r="S251">
        <f t="shared" si="108"/>
        <v>-410.38591214181878</v>
      </c>
      <c r="T251">
        <f t="shared" si="109"/>
        <v>-145.44288607390106</v>
      </c>
      <c r="V251">
        <f t="shared" si="116"/>
        <v>-262.38591214181878</v>
      </c>
      <c r="W251">
        <f t="shared" si="117"/>
        <v>-145.44288607390106</v>
      </c>
      <c r="X251">
        <f t="shared" si="118"/>
        <v>-410.38591214181878</v>
      </c>
      <c r="Y251">
        <f t="shared" si="119"/>
        <v>-145.44288607390106</v>
      </c>
      <c r="AA251">
        <v>241</v>
      </c>
      <c r="AB251">
        <f t="shared" si="120"/>
        <v>-218.16432911085158</v>
      </c>
      <c r="AC251">
        <f t="shared" si="121"/>
        <v>-393.5788682127282</v>
      </c>
      <c r="AD251">
        <v>241</v>
      </c>
      <c r="AE251">
        <f t="shared" si="122"/>
        <v>-315.12625316011895</v>
      </c>
      <c r="AF251">
        <f t="shared" si="123"/>
        <v>-568.50280964060732</v>
      </c>
      <c r="AV251">
        <v>241</v>
      </c>
      <c r="AW251">
        <f t="shared" si="124"/>
        <v>-339.36673417243577</v>
      </c>
      <c r="AX251">
        <f t="shared" si="125"/>
        <v>-612.23379499757721</v>
      </c>
      <c r="AZ251">
        <f t="shared" si="106"/>
        <v>494.97474683058317</v>
      </c>
      <c r="BA251">
        <f t="shared" si="107"/>
        <v>-494.9747468305834</v>
      </c>
    </row>
    <row r="252" spans="9:53" x14ac:dyDescent="0.25">
      <c r="I252">
        <v>242</v>
      </c>
      <c r="J252">
        <f t="shared" si="110"/>
        <v>-234.73578139294537</v>
      </c>
      <c r="K252">
        <f t="shared" si="111"/>
        <v>-441.4737964294635</v>
      </c>
      <c r="M252">
        <v>242</v>
      </c>
      <c r="N252">
        <f t="shared" si="112"/>
        <v>-269.94614860188716</v>
      </c>
      <c r="O252">
        <f t="shared" si="113"/>
        <v>-507.69486589388299</v>
      </c>
      <c r="Q252">
        <f t="shared" si="114"/>
        <v>-264.88427785767811</v>
      </c>
      <c r="R252">
        <f t="shared" si="115"/>
        <v>-140.84146883576722</v>
      </c>
      <c r="S252">
        <f t="shared" si="108"/>
        <v>-412.88427785767811</v>
      </c>
      <c r="T252">
        <f t="shared" si="109"/>
        <v>-140.84146883576722</v>
      </c>
      <c r="V252">
        <f t="shared" si="116"/>
        <v>-264.88427785767811</v>
      </c>
      <c r="W252">
        <f t="shared" si="117"/>
        <v>-140.84146883576722</v>
      </c>
      <c r="X252">
        <f t="shared" si="118"/>
        <v>-412.88427785767811</v>
      </c>
      <c r="Y252">
        <f t="shared" si="119"/>
        <v>-140.84146883576722</v>
      </c>
      <c r="AA252">
        <v>242</v>
      </c>
      <c r="AB252">
        <f t="shared" si="120"/>
        <v>-211.26220325365082</v>
      </c>
      <c r="AC252">
        <f t="shared" si="121"/>
        <v>-397.32641678651714</v>
      </c>
      <c r="AD252">
        <v>242</v>
      </c>
      <c r="AE252">
        <f t="shared" si="122"/>
        <v>-305.15651581082898</v>
      </c>
      <c r="AF252">
        <f t="shared" si="123"/>
        <v>-573.91593535830259</v>
      </c>
      <c r="AV252">
        <v>242</v>
      </c>
      <c r="AW252">
        <f t="shared" si="124"/>
        <v>-328.63009395012352</v>
      </c>
      <c r="AX252">
        <f t="shared" si="125"/>
        <v>-618.06331500124884</v>
      </c>
      <c r="AZ252">
        <f t="shared" si="106"/>
        <v>494.97474683058317</v>
      </c>
      <c r="BA252">
        <f t="shared" si="107"/>
        <v>-494.9747468305834</v>
      </c>
    </row>
    <row r="253" spans="9:53" x14ac:dyDescent="0.25">
      <c r="I253">
        <v>243</v>
      </c>
      <c r="J253">
        <f t="shared" si="110"/>
        <v>-226.99524986977346</v>
      </c>
      <c r="K253">
        <f t="shared" si="111"/>
        <v>-445.50326209418387</v>
      </c>
      <c r="M253">
        <v>243</v>
      </c>
      <c r="N253">
        <f t="shared" si="112"/>
        <v>-261.04453735023947</v>
      </c>
      <c r="O253">
        <f t="shared" si="113"/>
        <v>-512.32875140831152</v>
      </c>
      <c r="Q253">
        <f t="shared" si="114"/>
        <v>-267.30195725651032</v>
      </c>
      <c r="R253">
        <f t="shared" si="115"/>
        <v>-136.19714992186408</v>
      </c>
      <c r="S253">
        <f t="shared" si="108"/>
        <v>-415.30195725651032</v>
      </c>
      <c r="T253">
        <f t="shared" si="109"/>
        <v>-136.19714992186408</v>
      </c>
      <c r="V253">
        <f t="shared" si="116"/>
        <v>-267.30195725651032</v>
      </c>
      <c r="W253">
        <f t="shared" si="117"/>
        <v>-136.19714992186408</v>
      </c>
      <c r="X253">
        <f t="shared" si="118"/>
        <v>-415.30195725651032</v>
      </c>
      <c r="Y253">
        <f t="shared" si="119"/>
        <v>-136.19714992186408</v>
      </c>
      <c r="AA253">
        <v>243</v>
      </c>
      <c r="AB253">
        <f t="shared" si="120"/>
        <v>-204.29572488279612</v>
      </c>
      <c r="AC253">
        <f t="shared" si="121"/>
        <v>-400.95293588476551</v>
      </c>
      <c r="AD253">
        <v>243</v>
      </c>
      <c r="AE253">
        <f t="shared" si="122"/>
        <v>-295.0938248307055</v>
      </c>
      <c r="AF253">
        <f t="shared" si="123"/>
        <v>-579.15424072243911</v>
      </c>
      <c r="AV253">
        <v>243</v>
      </c>
      <c r="AW253">
        <f t="shared" si="124"/>
        <v>-317.79334981768284</v>
      </c>
      <c r="AX253">
        <f t="shared" si="125"/>
        <v>-623.70456693185747</v>
      </c>
      <c r="AZ253">
        <f t="shared" si="106"/>
        <v>494.97474683058317</v>
      </c>
      <c r="BA253">
        <f t="shared" si="107"/>
        <v>-494.9747468305834</v>
      </c>
    </row>
    <row r="254" spans="9:53" x14ac:dyDescent="0.25">
      <c r="I254">
        <v>244</v>
      </c>
      <c r="J254">
        <f t="shared" si="110"/>
        <v>-219.18557339453886</v>
      </c>
      <c r="K254">
        <f t="shared" si="111"/>
        <v>-449.39702314958339</v>
      </c>
      <c r="M254">
        <v>244</v>
      </c>
      <c r="N254">
        <f t="shared" si="112"/>
        <v>-252.0634094037197</v>
      </c>
      <c r="O254">
        <f t="shared" si="113"/>
        <v>-516.80657662202088</v>
      </c>
      <c r="Q254">
        <f t="shared" si="114"/>
        <v>-269.63821388975003</v>
      </c>
      <c r="R254">
        <f t="shared" si="115"/>
        <v>-131.51134403672333</v>
      </c>
      <c r="S254">
        <f t="shared" si="108"/>
        <v>-417.63821388975003</v>
      </c>
      <c r="T254">
        <f t="shared" si="109"/>
        <v>-131.51134403672333</v>
      </c>
      <c r="V254">
        <f t="shared" si="116"/>
        <v>-269.63821388975003</v>
      </c>
      <c r="W254">
        <f t="shared" si="117"/>
        <v>-131.51134403672333</v>
      </c>
      <c r="X254">
        <f t="shared" si="118"/>
        <v>-417.63821388975003</v>
      </c>
      <c r="Y254">
        <f t="shared" si="119"/>
        <v>-131.51134403672333</v>
      </c>
      <c r="AA254">
        <v>244</v>
      </c>
      <c r="AB254">
        <f t="shared" si="120"/>
        <v>-197.26701605508498</v>
      </c>
      <c r="AC254">
        <f t="shared" si="121"/>
        <v>-404.45732083462508</v>
      </c>
      <c r="AD254">
        <v>244</v>
      </c>
      <c r="AE254">
        <f t="shared" si="122"/>
        <v>-284.94124541290051</v>
      </c>
      <c r="AF254">
        <f t="shared" si="123"/>
        <v>-584.21613009445844</v>
      </c>
      <c r="AV254">
        <v>244</v>
      </c>
      <c r="AW254">
        <f t="shared" si="124"/>
        <v>-306.85980275235443</v>
      </c>
      <c r="AX254">
        <f t="shared" si="125"/>
        <v>-629.1558324094168</v>
      </c>
      <c r="AZ254">
        <f t="shared" si="106"/>
        <v>494.97474683058317</v>
      </c>
      <c r="BA254">
        <f t="shared" si="107"/>
        <v>-494.9747468305834</v>
      </c>
    </row>
    <row r="255" spans="9:53" x14ac:dyDescent="0.25">
      <c r="I255">
        <v>245</v>
      </c>
      <c r="J255">
        <f t="shared" si="110"/>
        <v>-211.30913087034997</v>
      </c>
      <c r="K255">
        <f t="shared" si="111"/>
        <v>-453.15389351832488</v>
      </c>
      <c r="M255">
        <v>245</v>
      </c>
      <c r="N255">
        <f t="shared" si="112"/>
        <v>-243.00550050090246</v>
      </c>
      <c r="O255">
        <f t="shared" si="113"/>
        <v>-521.12697754607359</v>
      </c>
      <c r="Q255">
        <f t="shared" si="114"/>
        <v>-271.8923361109949</v>
      </c>
      <c r="R255">
        <f t="shared" si="115"/>
        <v>-126.78547852220998</v>
      </c>
      <c r="S255">
        <f t="shared" si="108"/>
        <v>-419.8923361109949</v>
      </c>
      <c r="T255">
        <f t="shared" si="109"/>
        <v>-126.78547852220998</v>
      </c>
      <c r="V255">
        <f t="shared" si="116"/>
        <v>-271.8923361109949</v>
      </c>
      <c r="W255">
        <f t="shared" si="117"/>
        <v>-126.78547852220998</v>
      </c>
      <c r="X255">
        <f t="shared" si="118"/>
        <v>-419.8923361109949</v>
      </c>
      <c r="Y255">
        <f t="shared" si="119"/>
        <v>-126.78547852220998</v>
      </c>
      <c r="AA255">
        <v>245</v>
      </c>
      <c r="AB255">
        <f t="shared" si="120"/>
        <v>-190.17821778331498</v>
      </c>
      <c r="AC255">
        <f t="shared" si="121"/>
        <v>-407.83850416649238</v>
      </c>
      <c r="AD255">
        <v>245</v>
      </c>
      <c r="AE255">
        <f t="shared" si="122"/>
        <v>-274.70187013145494</v>
      </c>
      <c r="AF255">
        <f t="shared" si="123"/>
        <v>-589.10006157382236</v>
      </c>
      <c r="AV255">
        <v>245</v>
      </c>
      <c r="AW255">
        <f t="shared" si="124"/>
        <v>-295.83278321848996</v>
      </c>
      <c r="AX255">
        <f t="shared" si="125"/>
        <v>-634.4154509256548</v>
      </c>
      <c r="AZ255">
        <f t="shared" ref="AZ255:AZ318" si="126">IF(AV255&gt;$BF$7,AW255,VLOOKUP($BF$7,$AV$11:$AX$370,2,0))</f>
        <v>494.97474683058317</v>
      </c>
      <c r="BA255">
        <f t="shared" si="107"/>
        <v>-494.9747468305834</v>
      </c>
    </row>
    <row r="256" spans="9:53" x14ac:dyDescent="0.25">
      <c r="I256">
        <v>246</v>
      </c>
      <c r="J256">
        <f t="shared" si="110"/>
        <v>-203.36832153790004</v>
      </c>
      <c r="K256">
        <f t="shared" si="111"/>
        <v>-456.77272882130046</v>
      </c>
      <c r="M256">
        <v>246</v>
      </c>
      <c r="N256">
        <f t="shared" si="112"/>
        <v>-233.87356976858504</v>
      </c>
      <c r="O256">
        <f t="shared" si="113"/>
        <v>-525.28863814449551</v>
      </c>
      <c r="Q256">
        <f t="shared" si="114"/>
        <v>-274.0636372927803</v>
      </c>
      <c r="R256">
        <f t="shared" si="115"/>
        <v>-122.02099292274004</v>
      </c>
      <c r="S256">
        <f t="shared" si="108"/>
        <v>-422.0636372927803</v>
      </c>
      <c r="T256">
        <f t="shared" si="109"/>
        <v>-122.02099292274004</v>
      </c>
      <c r="V256">
        <f t="shared" si="116"/>
        <v>-274.0636372927803</v>
      </c>
      <c r="W256">
        <f t="shared" si="117"/>
        <v>-122.02099292274004</v>
      </c>
      <c r="X256">
        <f t="shared" si="118"/>
        <v>-422.0636372927803</v>
      </c>
      <c r="Y256">
        <f t="shared" si="119"/>
        <v>-122.02099292274004</v>
      </c>
      <c r="AA256">
        <v>246</v>
      </c>
      <c r="AB256">
        <f t="shared" si="120"/>
        <v>-183.03148938411005</v>
      </c>
      <c r="AC256">
        <f t="shared" si="121"/>
        <v>-411.09545593917045</v>
      </c>
      <c r="AD256">
        <v>246</v>
      </c>
      <c r="AE256">
        <f t="shared" si="122"/>
        <v>-264.37881799927004</v>
      </c>
      <c r="AF256">
        <f t="shared" si="123"/>
        <v>-593.80454746769067</v>
      </c>
      <c r="AV256">
        <v>246</v>
      </c>
      <c r="AW256">
        <f t="shared" si="124"/>
        <v>-284.7156501530601</v>
      </c>
      <c r="AX256">
        <f t="shared" si="125"/>
        <v>-639.48182034982074</v>
      </c>
      <c r="AZ256">
        <f t="shared" si="126"/>
        <v>494.97474683058317</v>
      </c>
      <c r="BA256">
        <f t="shared" ref="BA256:BA319" si="127">IF(AV256&gt;$BF$7,AX256,VLOOKUP($BF$7,$AV$11:$AX$370,3,0))</f>
        <v>-494.9747468305834</v>
      </c>
    </row>
    <row r="257" spans="9:53" x14ac:dyDescent="0.25">
      <c r="I257">
        <v>247</v>
      </c>
      <c r="J257">
        <f t="shared" si="110"/>
        <v>-195.36556424463691</v>
      </c>
      <c r="K257">
        <f t="shared" si="111"/>
        <v>-460.25242672622011</v>
      </c>
      <c r="M257">
        <v>247</v>
      </c>
      <c r="N257">
        <f t="shared" si="112"/>
        <v>-224.67039888133246</v>
      </c>
      <c r="O257">
        <f t="shared" si="113"/>
        <v>-529.29029073515312</v>
      </c>
      <c r="Q257">
        <f t="shared" si="114"/>
        <v>-276.15145603573205</v>
      </c>
      <c r="R257">
        <f t="shared" si="115"/>
        <v>-117.21933854678215</v>
      </c>
      <c r="S257">
        <f t="shared" si="108"/>
        <v>-424.15145603573205</v>
      </c>
      <c r="T257">
        <f t="shared" si="109"/>
        <v>-117.21933854678215</v>
      </c>
      <c r="V257">
        <f t="shared" si="116"/>
        <v>-276.15145603573205</v>
      </c>
      <c r="W257">
        <f t="shared" si="117"/>
        <v>-117.21933854678215</v>
      </c>
      <c r="X257">
        <f t="shared" si="118"/>
        <v>-424.15145603573205</v>
      </c>
      <c r="Y257">
        <f t="shared" si="119"/>
        <v>-117.21933854678215</v>
      </c>
      <c r="AA257">
        <v>247</v>
      </c>
      <c r="AB257">
        <f t="shared" si="120"/>
        <v>-175.82900782017322</v>
      </c>
      <c r="AC257">
        <f t="shared" si="121"/>
        <v>-414.22718405359814</v>
      </c>
      <c r="AD257">
        <v>247</v>
      </c>
      <c r="AE257">
        <f t="shared" si="122"/>
        <v>-253.97523351802798</v>
      </c>
      <c r="AF257">
        <f t="shared" si="123"/>
        <v>-598.32815474408619</v>
      </c>
      <c r="AV257">
        <v>247</v>
      </c>
      <c r="AW257">
        <f t="shared" si="124"/>
        <v>-273.5117899424917</v>
      </c>
      <c r="AX257">
        <f t="shared" si="125"/>
        <v>-644.35339741670816</v>
      </c>
      <c r="AZ257">
        <f t="shared" si="126"/>
        <v>494.97474683058317</v>
      </c>
      <c r="BA257">
        <f t="shared" si="127"/>
        <v>-494.9747468305834</v>
      </c>
    </row>
    <row r="258" spans="9:53" x14ac:dyDescent="0.25">
      <c r="I258">
        <v>248</v>
      </c>
      <c r="J258">
        <f t="shared" si="110"/>
        <v>-187.30329670795615</v>
      </c>
      <c r="K258">
        <f t="shared" si="111"/>
        <v>-463.59192728339366</v>
      </c>
      <c r="M258">
        <v>248</v>
      </c>
      <c r="N258">
        <f t="shared" si="112"/>
        <v>-215.39879121414955</v>
      </c>
      <c r="O258">
        <f t="shared" si="113"/>
        <v>-533.13071637590269</v>
      </c>
      <c r="Q258">
        <f t="shared" si="114"/>
        <v>-278.1551563700362</v>
      </c>
      <c r="R258">
        <f t="shared" si="115"/>
        <v>-112.38197802477369</v>
      </c>
      <c r="S258">
        <f t="shared" si="108"/>
        <v>-426.1551563700362</v>
      </c>
      <c r="T258">
        <f t="shared" si="109"/>
        <v>-112.38197802477369</v>
      </c>
      <c r="V258">
        <f t="shared" si="116"/>
        <v>-278.1551563700362</v>
      </c>
      <c r="W258">
        <f t="shared" si="117"/>
        <v>-112.38197802477369</v>
      </c>
      <c r="X258">
        <f t="shared" si="118"/>
        <v>-426.1551563700362</v>
      </c>
      <c r="Y258">
        <f t="shared" si="119"/>
        <v>-112.38197802477369</v>
      </c>
      <c r="AA258">
        <v>248</v>
      </c>
      <c r="AB258">
        <f t="shared" si="120"/>
        <v>-168.57296703716054</v>
      </c>
      <c r="AC258">
        <f t="shared" si="121"/>
        <v>-417.23273455505426</v>
      </c>
      <c r="AD258">
        <v>248</v>
      </c>
      <c r="AE258">
        <f t="shared" si="122"/>
        <v>-243.49428572034299</v>
      </c>
      <c r="AF258">
        <f t="shared" si="123"/>
        <v>-602.66950546841178</v>
      </c>
      <c r="AV258">
        <v>248</v>
      </c>
      <c r="AW258">
        <f t="shared" si="124"/>
        <v>-262.22461539113863</v>
      </c>
      <c r="AX258">
        <f t="shared" si="125"/>
        <v>-649.02869819675107</v>
      </c>
      <c r="AZ258">
        <f t="shared" si="126"/>
        <v>494.97474683058317</v>
      </c>
      <c r="BA258">
        <f t="shared" si="127"/>
        <v>-494.9747468305834</v>
      </c>
    </row>
    <row r="259" spans="9:53" x14ac:dyDescent="0.25">
      <c r="I259">
        <v>249</v>
      </c>
      <c r="J259">
        <f t="shared" si="110"/>
        <v>-179.18397477265034</v>
      </c>
      <c r="K259">
        <f t="shared" si="111"/>
        <v>-466.79021324860082</v>
      </c>
      <c r="M259">
        <v>249</v>
      </c>
      <c r="N259">
        <f t="shared" si="112"/>
        <v>-206.06157098854791</v>
      </c>
      <c r="O259">
        <f t="shared" si="113"/>
        <v>-536.80874523589091</v>
      </c>
      <c r="Q259">
        <f t="shared" si="114"/>
        <v>-280.07412794916047</v>
      </c>
      <c r="R259">
        <f t="shared" si="115"/>
        <v>-107.51038486359022</v>
      </c>
      <c r="S259">
        <f t="shared" si="108"/>
        <v>-428.07412794916047</v>
      </c>
      <c r="T259">
        <f t="shared" si="109"/>
        <v>-107.51038486359022</v>
      </c>
      <c r="V259">
        <f t="shared" si="116"/>
        <v>-280.07412794916047</v>
      </c>
      <c r="W259">
        <f t="shared" si="117"/>
        <v>-107.51038486359022</v>
      </c>
      <c r="X259">
        <f t="shared" si="118"/>
        <v>-428.07412794916047</v>
      </c>
      <c r="Y259">
        <f t="shared" si="119"/>
        <v>-107.51038486359022</v>
      </c>
      <c r="AA259">
        <v>249</v>
      </c>
      <c r="AB259">
        <f t="shared" si="120"/>
        <v>-161.26557729538533</v>
      </c>
      <c r="AC259">
        <f t="shared" si="121"/>
        <v>-420.11119192374076</v>
      </c>
      <c r="AD259">
        <v>249</v>
      </c>
      <c r="AE259">
        <f t="shared" si="122"/>
        <v>-232.93916720444545</v>
      </c>
      <c r="AF259">
        <f t="shared" si="123"/>
        <v>-606.82727722318111</v>
      </c>
      <c r="AV259">
        <v>249</v>
      </c>
      <c r="AW259">
        <f t="shared" si="124"/>
        <v>-250.8575646817105</v>
      </c>
      <c r="AX259">
        <f t="shared" si="125"/>
        <v>-653.50629854804117</v>
      </c>
      <c r="AZ259">
        <f t="shared" si="126"/>
        <v>494.97474683058317</v>
      </c>
      <c r="BA259">
        <f t="shared" si="127"/>
        <v>-494.9747468305834</v>
      </c>
    </row>
    <row r="260" spans="9:53" x14ac:dyDescent="0.25">
      <c r="I260">
        <v>250</v>
      </c>
      <c r="J260">
        <f t="shared" si="110"/>
        <v>-171.01007166283469</v>
      </c>
      <c r="K260">
        <f t="shared" si="111"/>
        <v>-469.84631039295408</v>
      </c>
      <c r="M260">
        <v>250</v>
      </c>
      <c r="N260">
        <f t="shared" si="112"/>
        <v>-196.66158241225989</v>
      </c>
      <c r="O260">
        <f t="shared" si="113"/>
        <v>-540.32325695189718</v>
      </c>
      <c r="Q260">
        <f t="shared" si="114"/>
        <v>-281.90778623577245</v>
      </c>
      <c r="R260">
        <f t="shared" si="115"/>
        <v>-102.60604299770081</v>
      </c>
      <c r="S260">
        <f t="shared" si="108"/>
        <v>-429.90778623577245</v>
      </c>
      <c r="T260">
        <f t="shared" si="109"/>
        <v>-102.60604299770081</v>
      </c>
      <c r="V260">
        <f t="shared" si="116"/>
        <v>-281.90778623577245</v>
      </c>
      <c r="W260">
        <f t="shared" si="117"/>
        <v>-102.60604299770081</v>
      </c>
      <c r="X260">
        <f t="shared" si="118"/>
        <v>-429.90778623577245</v>
      </c>
      <c r="Y260">
        <f t="shared" si="119"/>
        <v>-102.60604299770081</v>
      </c>
      <c r="AA260">
        <v>250</v>
      </c>
      <c r="AB260">
        <f t="shared" si="120"/>
        <v>-153.90906449655122</v>
      </c>
      <c r="AC260">
        <f t="shared" si="121"/>
        <v>-422.8616793536587</v>
      </c>
      <c r="AD260">
        <v>250</v>
      </c>
      <c r="AE260">
        <f t="shared" si="122"/>
        <v>-222.31309316168509</v>
      </c>
      <c r="AF260">
        <f t="shared" si="123"/>
        <v>-610.80020351084033</v>
      </c>
      <c r="AV260">
        <v>250</v>
      </c>
      <c r="AW260">
        <f t="shared" si="124"/>
        <v>-239.41410032796855</v>
      </c>
      <c r="AX260">
        <f t="shared" si="125"/>
        <v>-657.78483455013577</v>
      </c>
      <c r="AZ260">
        <f t="shared" si="126"/>
        <v>494.97474683058317</v>
      </c>
      <c r="BA260">
        <f t="shared" si="127"/>
        <v>-494.9747468305834</v>
      </c>
    </row>
    <row r="261" spans="9:53" x14ac:dyDescent="0.25">
      <c r="I261">
        <v>251</v>
      </c>
      <c r="J261">
        <f t="shared" si="110"/>
        <v>-162.78407722857833</v>
      </c>
      <c r="K261">
        <f t="shared" si="111"/>
        <v>-472.75928779965841</v>
      </c>
      <c r="M261">
        <v>251</v>
      </c>
      <c r="N261">
        <f t="shared" si="112"/>
        <v>-187.20168881286506</v>
      </c>
      <c r="O261">
        <f t="shared" si="113"/>
        <v>-543.67318096960719</v>
      </c>
      <c r="Q261">
        <f t="shared" si="114"/>
        <v>-283.65557267979506</v>
      </c>
      <c r="R261">
        <f t="shared" si="115"/>
        <v>-97.670446337146998</v>
      </c>
      <c r="S261">
        <f t="shared" si="108"/>
        <v>-431.65557267979506</v>
      </c>
      <c r="T261">
        <f t="shared" si="109"/>
        <v>-97.670446337146998</v>
      </c>
      <c r="V261">
        <f t="shared" si="116"/>
        <v>-283.65557267979506</v>
      </c>
      <c r="W261">
        <f t="shared" si="117"/>
        <v>-97.670446337146998</v>
      </c>
      <c r="X261">
        <f t="shared" si="118"/>
        <v>-431.65557267979506</v>
      </c>
      <c r="Y261">
        <f t="shared" si="119"/>
        <v>-97.670446337146998</v>
      </c>
      <c r="AA261">
        <v>251</v>
      </c>
      <c r="AB261">
        <f t="shared" si="120"/>
        <v>-146.50566950572048</v>
      </c>
      <c r="AC261">
        <f t="shared" si="121"/>
        <v>-425.48335901969256</v>
      </c>
      <c r="AD261">
        <v>251</v>
      </c>
      <c r="AE261">
        <f t="shared" si="122"/>
        <v>-211.61930039715182</v>
      </c>
      <c r="AF261">
        <f t="shared" si="123"/>
        <v>-614.58707413955597</v>
      </c>
      <c r="AV261">
        <v>251</v>
      </c>
      <c r="AW261">
        <f t="shared" si="124"/>
        <v>-227.89770812000964</v>
      </c>
      <c r="AX261">
        <f t="shared" si="125"/>
        <v>-661.86300291952182</v>
      </c>
      <c r="AZ261">
        <f t="shared" si="126"/>
        <v>494.97474683058317</v>
      </c>
      <c r="BA261">
        <f t="shared" si="127"/>
        <v>-494.9747468305834</v>
      </c>
    </row>
    <row r="262" spans="9:53" x14ac:dyDescent="0.25">
      <c r="I262">
        <v>252</v>
      </c>
      <c r="J262">
        <f t="shared" si="110"/>
        <v>-154.50849718747378</v>
      </c>
      <c r="K262">
        <f t="shared" si="111"/>
        <v>-475.52825814757676</v>
      </c>
      <c r="M262">
        <v>252</v>
      </c>
      <c r="N262">
        <f t="shared" si="112"/>
        <v>-177.68477176559486</v>
      </c>
      <c r="O262">
        <f t="shared" si="113"/>
        <v>-546.85749686971326</v>
      </c>
      <c r="Q262">
        <f t="shared" si="114"/>
        <v>-285.31695488854604</v>
      </c>
      <c r="R262">
        <f t="shared" si="115"/>
        <v>-92.705098312484267</v>
      </c>
      <c r="S262">
        <f t="shared" si="108"/>
        <v>-433.31695488854604</v>
      </c>
      <c r="T262">
        <f t="shared" si="109"/>
        <v>-92.705098312484267</v>
      </c>
      <c r="V262">
        <f t="shared" si="116"/>
        <v>-285.31695488854604</v>
      </c>
      <c r="W262">
        <f t="shared" si="117"/>
        <v>-92.705098312484267</v>
      </c>
      <c r="X262">
        <f t="shared" si="118"/>
        <v>-433.31695488854604</v>
      </c>
      <c r="Y262">
        <f t="shared" si="119"/>
        <v>-92.705098312484267</v>
      </c>
      <c r="AA262">
        <v>252</v>
      </c>
      <c r="AB262">
        <f t="shared" si="120"/>
        <v>-139.0576474687264</v>
      </c>
      <c r="AC262">
        <f t="shared" si="121"/>
        <v>-427.97543233281908</v>
      </c>
      <c r="AD262">
        <v>252</v>
      </c>
      <c r="AE262">
        <f t="shared" si="122"/>
        <v>-200.86104634371591</v>
      </c>
      <c r="AF262">
        <f t="shared" si="123"/>
        <v>-618.18673559184981</v>
      </c>
      <c r="AV262">
        <v>252</v>
      </c>
      <c r="AW262">
        <f t="shared" si="124"/>
        <v>-216.31189606246329</v>
      </c>
      <c r="AX262">
        <f t="shared" si="125"/>
        <v>-665.73956140660744</v>
      </c>
      <c r="AZ262">
        <f t="shared" si="126"/>
        <v>494.97474683058317</v>
      </c>
      <c r="BA262">
        <f t="shared" si="127"/>
        <v>-494.9747468305834</v>
      </c>
    </row>
    <row r="263" spans="9:53" x14ac:dyDescent="0.25">
      <c r="I263">
        <v>253</v>
      </c>
      <c r="J263">
        <f t="shared" si="110"/>
        <v>-146.18585236136855</v>
      </c>
      <c r="K263">
        <f t="shared" si="111"/>
        <v>-478.15237798151765</v>
      </c>
      <c r="M263">
        <v>253</v>
      </c>
      <c r="N263">
        <f t="shared" si="112"/>
        <v>-168.11373021557384</v>
      </c>
      <c r="O263">
        <f t="shared" si="113"/>
        <v>-549.8752346787453</v>
      </c>
      <c r="Q263">
        <f t="shared" si="114"/>
        <v>-286.89142678891062</v>
      </c>
      <c r="R263">
        <f t="shared" si="115"/>
        <v>-87.711511416821125</v>
      </c>
      <c r="S263">
        <f t="shared" si="108"/>
        <v>-434.89142678891062</v>
      </c>
      <c r="T263">
        <f t="shared" si="109"/>
        <v>-87.711511416821125</v>
      </c>
      <c r="V263">
        <f t="shared" si="116"/>
        <v>-286.89142678891062</v>
      </c>
      <c r="W263">
        <f t="shared" si="117"/>
        <v>-87.711511416821125</v>
      </c>
      <c r="X263">
        <f t="shared" si="118"/>
        <v>-434.89142678891062</v>
      </c>
      <c r="Y263">
        <f t="shared" si="119"/>
        <v>-87.711511416821125</v>
      </c>
      <c r="AA263">
        <v>253</v>
      </c>
      <c r="AB263">
        <f t="shared" si="120"/>
        <v>-131.56726712523169</v>
      </c>
      <c r="AC263">
        <f t="shared" si="121"/>
        <v>-430.33714018336588</v>
      </c>
      <c r="AD263">
        <v>253</v>
      </c>
      <c r="AE263">
        <f t="shared" si="122"/>
        <v>-190.04160806977913</v>
      </c>
      <c r="AF263">
        <f t="shared" si="123"/>
        <v>-621.59809137597301</v>
      </c>
      <c r="AV263">
        <v>253</v>
      </c>
      <c r="AW263">
        <f t="shared" si="124"/>
        <v>-204.66019330591598</v>
      </c>
      <c r="AX263">
        <f t="shared" si="125"/>
        <v>-669.41332917412478</v>
      </c>
      <c r="AZ263">
        <f t="shared" si="126"/>
        <v>494.97474683058317</v>
      </c>
      <c r="BA263">
        <f t="shared" si="127"/>
        <v>-494.9747468305834</v>
      </c>
    </row>
    <row r="264" spans="9:53" x14ac:dyDescent="0.25">
      <c r="I264">
        <v>254</v>
      </c>
      <c r="J264">
        <f t="shared" si="110"/>
        <v>-137.81867790849944</v>
      </c>
      <c r="K264">
        <f t="shared" si="111"/>
        <v>-480.6308479691595</v>
      </c>
      <c r="M264">
        <v>254</v>
      </c>
      <c r="N264">
        <f t="shared" si="112"/>
        <v>-158.49147959477435</v>
      </c>
      <c r="O264">
        <f t="shared" si="113"/>
        <v>-552.72547516453346</v>
      </c>
      <c r="Q264">
        <f t="shared" si="114"/>
        <v>-288.37850878149573</v>
      </c>
      <c r="R264">
        <f t="shared" si="115"/>
        <v>-82.691206745099663</v>
      </c>
      <c r="S264">
        <f t="shared" si="108"/>
        <v>-436.37850878149573</v>
      </c>
      <c r="T264">
        <f t="shared" si="109"/>
        <v>-82.691206745099663</v>
      </c>
      <c r="V264">
        <f t="shared" si="116"/>
        <v>-288.37850878149573</v>
      </c>
      <c r="W264">
        <f t="shared" si="117"/>
        <v>-82.691206745099663</v>
      </c>
      <c r="X264">
        <f t="shared" si="118"/>
        <v>-436.37850878149573</v>
      </c>
      <c r="Y264">
        <f t="shared" si="119"/>
        <v>-82.691206745099663</v>
      </c>
      <c r="AA264">
        <v>254</v>
      </c>
      <c r="AB264">
        <f t="shared" si="120"/>
        <v>-124.03681011764949</v>
      </c>
      <c r="AC264">
        <f t="shared" si="121"/>
        <v>-432.56776317224353</v>
      </c>
      <c r="AD264">
        <v>254</v>
      </c>
      <c r="AE264">
        <f t="shared" si="122"/>
        <v>-179.16428128104928</v>
      </c>
      <c r="AF264">
        <f t="shared" si="123"/>
        <v>-624.82010235990731</v>
      </c>
      <c r="AV264">
        <v>254</v>
      </c>
      <c r="AW264">
        <f t="shared" si="124"/>
        <v>-192.94614907189921</v>
      </c>
      <c r="AX264">
        <f t="shared" si="125"/>
        <v>-672.88318715682328</v>
      </c>
      <c r="AZ264">
        <f t="shared" si="126"/>
        <v>494.97474683058317</v>
      </c>
      <c r="BA264">
        <f t="shared" si="127"/>
        <v>-494.9747468305834</v>
      </c>
    </row>
    <row r="265" spans="9:53" x14ac:dyDescent="0.25">
      <c r="I265">
        <v>255</v>
      </c>
      <c r="J265">
        <f t="shared" si="110"/>
        <v>-129.40952255126032</v>
      </c>
      <c r="K265">
        <f t="shared" si="111"/>
        <v>-482.96291314453418</v>
      </c>
      <c r="M265">
        <v>255</v>
      </c>
      <c r="N265">
        <f t="shared" si="112"/>
        <v>-148.82095093394935</v>
      </c>
      <c r="O265">
        <f t="shared" si="113"/>
        <v>-555.40735011621427</v>
      </c>
      <c r="Q265">
        <f t="shared" si="114"/>
        <v>-289.77774788672048</v>
      </c>
      <c r="R265">
        <f t="shared" si="115"/>
        <v>-77.645713530756183</v>
      </c>
      <c r="S265">
        <f t="shared" si="108"/>
        <v>-437.77774788672048</v>
      </c>
      <c r="T265">
        <f t="shared" si="109"/>
        <v>-77.645713530756183</v>
      </c>
      <c r="V265">
        <f t="shared" si="116"/>
        <v>-289.77774788672048</v>
      </c>
      <c r="W265">
        <f t="shared" si="117"/>
        <v>-77.645713530756183</v>
      </c>
      <c r="X265">
        <f t="shared" si="118"/>
        <v>-437.77774788672048</v>
      </c>
      <c r="Y265">
        <f t="shared" si="119"/>
        <v>-77.645713530756183</v>
      </c>
      <c r="AA265">
        <v>255</v>
      </c>
      <c r="AB265">
        <f t="shared" si="120"/>
        <v>-116.46857029613429</v>
      </c>
      <c r="AC265">
        <f t="shared" si="121"/>
        <v>-434.66662183008071</v>
      </c>
      <c r="AD265">
        <v>255</v>
      </c>
      <c r="AE265">
        <f t="shared" si="122"/>
        <v>-168.2323793166384</v>
      </c>
      <c r="AF265">
        <f t="shared" si="123"/>
        <v>-627.85178708789442</v>
      </c>
      <c r="AV265">
        <v>255</v>
      </c>
      <c r="AW265">
        <f t="shared" si="124"/>
        <v>-181.17333157176444</v>
      </c>
      <c r="AX265">
        <f t="shared" si="125"/>
        <v>-676.14807840234778</v>
      </c>
      <c r="AZ265">
        <f t="shared" si="126"/>
        <v>494.97474683058317</v>
      </c>
      <c r="BA265">
        <f t="shared" si="127"/>
        <v>-494.9747468305834</v>
      </c>
    </row>
    <row r="266" spans="9:53" x14ac:dyDescent="0.25">
      <c r="I266">
        <v>256</v>
      </c>
      <c r="J266">
        <f t="shared" si="110"/>
        <v>-120.96094779983389</v>
      </c>
      <c r="K266">
        <f t="shared" si="111"/>
        <v>-485.14786313799823</v>
      </c>
      <c r="M266">
        <v>256</v>
      </c>
      <c r="N266">
        <f t="shared" si="112"/>
        <v>-139.10508996980897</v>
      </c>
      <c r="O266">
        <f t="shared" si="113"/>
        <v>-557.92004260869794</v>
      </c>
      <c r="Q266">
        <f t="shared" si="114"/>
        <v>-291.08871788279896</v>
      </c>
      <c r="R266">
        <f t="shared" si="115"/>
        <v>-72.576568679900333</v>
      </c>
      <c r="S266">
        <f t="shared" si="108"/>
        <v>-439.08871788279896</v>
      </c>
      <c r="T266">
        <f t="shared" si="109"/>
        <v>-72.576568679900333</v>
      </c>
      <c r="V266">
        <f t="shared" si="116"/>
        <v>-291.08871788279896</v>
      </c>
      <c r="W266">
        <f t="shared" si="117"/>
        <v>-72.576568679900333</v>
      </c>
      <c r="X266">
        <f t="shared" si="118"/>
        <v>-439.08871788279896</v>
      </c>
      <c r="Y266">
        <f t="shared" si="119"/>
        <v>-72.576568679900333</v>
      </c>
      <c r="AA266">
        <v>256</v>
      </c>
      <c r="AB266">
        <f t="shared" si="120"/>
        <v>-108.8648530198505</v>
      </c>
      <c r="AC266">
        <f t="shared" si="121"/>
        <v>-436.63307682419844</v>
      </c>
      <c r="AD266">
        <v>256</v>
      </c>
      <c r="AE266">
        <f t="shared" si="122"/>
        <v>-157.24923213978406</v>
      </c>
      <c r="AF266">
        <f t="shared" si="123"/>
        <v>-630.69222207939765</v>
      </c>
      <c r="AV266">
        <v>256</v>
      </c>
      <c r="AW266">
        <f t="shared" si="124"/>
        <v>-169.34532691976744</v>
      </c>
      <c r="AX266">
        <f t="shared" si="125"/>
        <v>-679.2070083931975</v>
      </c>
      <c r="AZ266">
        <f t="shared" si="126"/>
        <v>494.97474683058317</v>
      </c>
      <c r="BA266">
        <f t="shared" si="127"/>
        <v>-494.9747468305834</v>
      </c>
    </row>
    <row r="267" spans="9:53" x14ac:dyDescent="0.25">
      <c r="I267">
        <v>257</v>
      </c>
      <c r="J267">
        <f t="shared" si="110"/>
        <v>-112.47552717193263</v>
      </c>
      <c r="K267">
        <f t="shared" si="111"/>
        <v>-487.18503239261759</v>
      </c>
      <c r="M267">
        <v>257</v>
      </c>
      <c r="N267">
        <f t="shared" si="112"/>
        <v>-129.34685624772251</v>
      </c>
      <c r="O267">
        <f t="shared" si="113"/>
        <v>-560.26278725151019</v>
      </c>
      <c r="Q267">
        <f t="shared" si="114"/>
        <v>-292.31101943557053</v>
      </c>
      <c r="R267">
        <f t="shared" si="115"/>
        <v>-67.485316303159578</v>
      </c>
      <c r="S267">
        <f t="shared" ref="S267:S330" si="128">Q267+$T$7</f>
        <v>-440.31101943557053</v>
      </c>
      <c r="T267">
        <f t="shared" ref="T267:T330" si="129">R267+$T$8</f>
        <v>-67.485316303159578</v>
      </c>
      <c r="V267">
        <f t="shared" si="116"/>
        <v>-292.31101943557053</v>
      </c>
      <c r="W267">
        <f t="shared" si="117"/>
        <v>-67.485316303159578</v>
      </c>
      <c r="X267">
        <f t="shared" si="118"/>
        <v>-440.31101943557053</v>
      </c>
      <c r="Y267">
        <f t="shared" si="119"/>
        <v>-67.485316303159578</v>
      </c>
      <c r="AA267">
        <v>257</v>
      </c>
      <c r="AB267">
        <f t="shared" si="120"/>
        <v>-101.22797445473937</v>
      </c>
      <c r="AC267">
        <f t="shared" si="121"/>
        <v>-438.46652915335579</v>
      </c>
      <c r="AD267">
        <v>257</v>
      </c>
      <c r="AE267">
        <f t="shared" si="122"/>
        <v>-146.21818532351242</v>
      </c>
      <c r="AF267">
        <f t="shared" si="123"/>
        <v>-633.34054211040279</v>
      </c>
      <c r="AV267">
        <v>257</v>
      </c>
      <c r="AW267">
        <f t="shared" si="124"/>
        <v>-157.46573804070567</v>
      </c>
      <c r="AX267">
        <f t="shared" si="125"/>
        <v>-682.05904534966464</v>
      </c>
      <c r="AZ267">
        <f t="shared" si="126"/>
        <v>494.97474683058317</v>
      </c>
      <c r="BA267">
        <f t="shared" si="127"/>
        <v>-494.9747468305834</v>
      </c>
    </row>
    <row r="268" spans="9:53" x14ac:dyDescent="0.25">
      <c r="I268">
        <v>258</v>
      </c>
      <c r="J268">
        <f t="shared" ref="J268:J331" si="130">COS(I268*PI()/180)*$J$8</f>
        <v>-103.9558454088799</v>
      </c>
      <c r="K268">
        <f t="shared" ref="K268:K331" si="131">SIN(I268*PI()/180)*$J$8</f>
        <v>-489.07380036690279</v>
      </c>
      <c r="M268">
        <v>258</v>
      </c>
      <c r="N268">
        <f t="shared" ref="N268:N331" si="132">COS(M268*PI()/180)*$N$8</f>
        <v>-119.54922222021187</v>
      </c>
      <c r="O268">
        <f t="shared" ref="O268:O331" si="133">SIN(M268*PI()/180)*$N$8</f>
        <v>-562.43487042193817</v>
      </c>
      <c r="Q268">
        <f t="shared" ref="Q268:Q331" si="134">SIN(I268*PI()/180)*$Q$8</f>
        <v>-293.44428022014165</v>
      </c>
      <c r="R268">
        <f t="shared" ref="R268:R331" si="135">COS(I268*PI()/180)*$Q$8</f>
        <v>-62.373507245327936</v>
      </c>
      <c r="S268">
        <f t="shared" si="128"/>
        <v>-441.44428022014165</v>
      </c>
      <c r="T268">
        <f t="shared" si="129"/>
        <v>-62.373507245327936</v>
      </c>
      <c r="V268">
        <f t="shared" ref="V268:V331" si="136">SIN(I268*PI()/180)*$V$8</f>
        <v>-293.44428022014165</v>
      </c>
      <c r="W268">
        <f t="shared" ref="W268:W331" si="137">COS(I268*PI()/180)*$V$8</f>
        <v>-62.373507245327936</v>
      </c>
      <c r="X268">
        <f t="shared" ref="X268:X331" si="138">V268+$Y$7</f>
        <v>-441.44428022014165</v>
      </c>
      <c r="Y268">
        <f t="shared" ref="Y268:Y331" si="139">W268+$Y$8</f>
        <v>-62.373507245327936</v>
      </c>
      <c r="AA268">
        <v>258</v>
      </c>
      <c r="AB268">
        <f t="shared" ref="AB268:AB331" si="140">COS(AA268*PI()/180)*$AB$8</f>
        <v>-93.5602608679919</v>
      </c>
      <c r="AC268">
        <f t="shared" ref="AC268:AC331" si="141">SIN(AA268*PI()/180)*$AB$8</f>
        <v>-440.16642033021253</v>
      </c>
      <c r="AD268">
        <v>258</v>
      </c>
      <c r="AE268">
        <f t="shared" ref="AE268:AE331" si="142">COS(AD268*PI()/180)*$AE$8</f>
        <v>-135.14259903154385</v>
      </c>
      <c r="AF268">
        <f t="shared" ref="AF268:AF331" si="143">SIN(AD268*PI()/180)*$AE$8</f>
        <v>-635.79594047697367</v>
      </c>
      <c r="AV268">
        <v>258</v>
      </c>
      <c r="AW268">
        <f t="shared" ref="AW268:AW331" si="144">COS(AV268*PI()/180)*$AW$8</f>
        <v>-145.53818357243185</v>
      </c>
      <c r="AX268">
        <f t="shared" ref="AX268:AX331" si="145">SIN(AV268*PI()/180)*$AW$8</f>
        <v>-684.70332051366393</v>
      </c>
      <c r="AZ268">
        <f t="shared" si="126"/>
        <v>494.97474683058317</v>
      </c>
      <c r="BA268">
        <f t="shared" si="127"/>
        <v>-494.9747468305834</v>
      </c>
    </row>
    <row r="269" spans="9:53" x14ac:dyDescent="0.25">
      <c r="I269">
        <v>259</v>
      </c>
      <c r="J269">
        <f t="shared" si="130"/>
        <v>-95.404497688272741</v>
      </c>
      <c r="K269">
        <f t="shared" si="131"/>
        <v>-490.81359172383191</v>
      </c>
      <c r="M269">
        <v>259</v>
      </c>
      <c r="N269">
        <f t="shared" si="132"/>
        <v>-109.71517234151365</v>
      </c>
      <c r="O269">
        <f t="shared" si="133"/>
        <v>-564.43563048240674</v>
      </c>
      <c r="Q269">
        <f t="shared" si="134"/>
        <v>-294.48815503429915</v>
      </c>
      <c r="R269">
        <f t="shared" si="135"/>
        <v>-57.242698612963643</v>
      </c>
      <c r="S269">
        <f t="shared" si="128"/>
        <v>-442.48815503429915</v>
      </c>
      <c r="T269">
        <f t="shared" si="129"/>
        <v>-57.242698612963643</v>
      </c>
      <c r="V269">
        <f t="shared" si="136"/>
        <v>-294.48815503429915</v>
      </c>
      <c r="W269">
        <f t="shared" si="137"/>
        <v>-57.242698612963643</v>
      </c>
      <c r="X269">
        <f t="shared" si="138"/>
        <v>-442.48815503429915</v>
      </c>
      <c r="Y269">
        <f t="shared" si="139"/>
        <v>-57.242698612963643</v>
      </c>
      <c r="AA269">
        <v>259</v>
      </c>
      <c r="AB269">
        <f t="shared" si="140"/>
        <v>-85.864047919445468</v>
      </c>
      <c r="AC269">
        <f t="shared" si="141"/>
        <v>-441.73223255144876</v>
      </c>
      <c r="AD269">
        <v>259</v>
      </c>
      <c r="AE269">
        <f t="shared" si="142"/>
        <v>-124.02584699475456</v>
      </c>
      <c r="AF269">
        <f t="shared" si="143"/>
        <v>-638.05766924098157</v>
      </c>
      <c r="AV269">
        <v>259</v>
      </c>
      <c r="AW269">
        <f t="shared" si="144"/>
        <v>-133.56629676358182</v>
      </c>
      <c r="AX269">
        <f t="shared" si="145"/>
        <v>-687.13902841336471</v>
      </c>
      <c r="AZ269">
        <f t="shared" si="126"/>
        <v>494.97474683058317</v>
      </c>
      <c r="BA269">
        <f t="shared" si="127"/>
        <v>-494.9747468305834</v>
      </c>
    </row>
    <row r="270" spans="9:53" x14ac:dyDescent="0.25">
      <c r="I270">
        <v>260</v>
      </c>
      <c r="J270">
        <f t="shared" si="130"/>
        <v>-86.824088833465169</v>
      </c>
      <c r="K270">
        <f t="shared" si="131"/>
        <v>-492.40387650610398</v>
      </c>
      <c r="M270">
        <v>260</v>
      </c>
      <c r="N270">
        <f t="shared" si="132"/>
        <v>-99.847702158484935</v>
      </c>
      <c r="O270">
        <f t="shared" si="133"/>
        <v>-566.26445798201962</v>
      </c>
      <c r="Q270">
        <f t="shared" si="134"/>
        <v>-295.44232590366238</v>
      </c>
      <c r="R270">
        <f t="shared" si="135"/>
        <v>-52.094453300079103</v>
      </c>
      <c r="S270">
        <f t="shared" si="128"/>
        <v>-443.44232590366238</v>
      </c>
      <c r="T270">
        <f t="shared" si="129"/>
        <v>-52.094453300079103</v>
      </c>
      <c r="V270">
        <f t="shared" si="136"/>
        <v>-295.44232590366238</v>
      </c>
      <c r="W270">
        <f t="shared" si="137"/>
        <v>-52.094453300079103</v>
      </c>
      <c r="X270">
        <f t="shared" si="138"/>
        <v>-443.44232590366238</v>
      </c>
      <c r="Y270">
        <f t="shared" si="139"/>
        <v>-52.094453300079103</v>
      </c>
      <c r="AA270">
        <v>260</v>
      </c>
      <c r="AB270">
        <f t="shared" si="140"/>
        <v>-78.141679950118643</v>
      </c>
      <c r="AC270">
        <f t="shared" si="141"/>
        <v>-443.1634888554936</v>
      </c>
      <c r="AD270">
        <v>260</v>
      </c>
      <c r="AE270">
        <f t="shared" si="142"/>
        <v>-112.87131548350472</v>
      </c>
      <c r="AF270">
        <f t="shared" si="143"/>
        <v>-640.12503945793526</v>
      </c>
      <c r="AV270">
        <v>260</v>
      </c>
      <c r="AW270">
        <f t="shared" si="144"/>
        <v>-121.55372436685123</v>
      </c>
      <c r="AX270">
        <f t="shared" si="145"/>
        <v>-689.36542710854565</v>
      </c>
      <c r="AZ270">
        <f t="shared" si="126"/>
        <v>494.97474683058317</v>
      </c>
      <c r="BA270">
        <f t="shared" si="127"/>
        <v>-494.9747468305834</v>
      </c>
    </row>
    <row r="271" spans="9:53" x14ac:dyDescent="0.25">
      <c r="I271">
        <v>261</v>
      </c>
      <c r="J271">
        <f t="shared" si="130"/>
        <v>-78.217232520115516</v>
      </c>
      <c r="K271">
        <f t="shared" si="131"/>
        <v>-493.84417029756884</v>
      </c>
      <c r="M271">
        <v>261</v>
      </c>
      <c r="N271">
        <f t="shared" si="132"/>
        <v>-89.949817398132851</v>
      </c>
      <c r="O271">
        <f t="shared" si="133"/>
        <v>-567.92079584220414</v>
      </c>
      <c r="Q271">
        <f t="shared" si="134"/>
        <v>-296.30650217854128</v>
      </c>
      <c r="R271">
        <f t="shared" si="135"/>
        <v>-46.93033951206931</v>
      </c>
      <c r="S271">
        <f t="shared" si="128"/>
        <v>-444.30650217854128</v>
      </c>
      <c r="T271">
        <f t="shared" si="129"/>
        <v>-46.93033951206931</v>
      </c>
      <c r="V271">
        <f t="shared" si="136"/>
        <v>-296.30650217854128</v>
      </c>
      <c r="W271">
        <f t="shared" si="137"/>
        <v>-46.93033951206931</v>
      </c>
      <c r="X271">
        <f t="shared" si="138"/>
        <v>-444.30650217854128</v>
      </c>
      <c r="Y271">
        <f t="shared" si="139"/>
        <v>-46.93033951206931</v>
      </c>
      <c r="AA271">
        <v>261</v>
      </c>
      <c r="AB271">
        <f t="shared" si="140"/>
        <v>-70.395509268103964</v>
      </c>
      <c r="AC271">
        <f t="shared" si="141"/>
        <v>-444.45975326781195</v>
      </c>
      <c r="AD271">
        <v>261</v>
      </c>
      <c r="AE271">
        <f t="shared" si="142"/>
        <v>-101.68240227615017</v>
      </c>
      <c r="AF271">
        <f t="shared" si="143"/>
        <v>-641.99742138683951</v>
      </c>
      <c r="AV271">
        <v>261</v>
      </c>
      <c r="AW271">
        <f t="shared" si="144"/>
        <v>-109.50412552816172</v>
      </c>
      <c r="AX271">
        <f t="shared" si="145"/>
        <v>-691.38183841659634</v>
      </c>
      <c r="AZ271">
        <f t="shared" si="126"/>
        <v>494.97474683058317</v>
      </c>
      <c r="BA271">
        <f t="shared" si="127"/>
        <v>-494.9747468305834</v>
      </c>
    </row>
    <row r="272" spans="9:53" x14ac:dyDescent="0.25">
      <c r="I272">
        <v>262</v>
      </c>
      <c r="J272">
        <f t="shared" si="130"/>
        <v>-69.586550480032471</v>
      </c>
      <c r="K272">
        <f t="shared" si="131"/>
        <v>-495.13403437078517</v>
      </c>
      <c r="M272">
        <v>262</v>
      </c>
      <c r="N272">
        <f t="shared" si="132"/>
        <v>-80.024533052037341</v>
      </c>
      <c r="O272">
        <f t="shared" si="133"/>
        <v>-569.40413952640301</v>
      </c>
      <c r="Q272">
        <f t="shared" si="134"/>
        <v>-297.08042062247108</v>
      </c>
      <c r="R272">
        <f t="shared" si="135"/>
        <v>-41.75193028801948</v>
      </c>
      <c r="S272">
        <f t="shared" si="128"/>
        <v>-445.08042062247108</v>
      </c>
      <c r="T272">
        <f t="shared" si="129"/>
        <v>-41.75193028801948</v>
      </c>
      <c r="V272">
        <f t="shared" si="136"/>
        <v>-297.08042062247108</v>
      </c>
      <c r="W272">
        <f t="shared" si="137"/>
        <v>-41.75193028801948</v>
      </c>
      <c r="X272">
        <f t="shared" si="138"/>
        <v>-445.08042062247108</v>
      </c>
      <c r="Y272">
        <f t="shared" si="139"/>
        <v>-41.75193028801948</v>
      </c>
      <c r="AA272">
        <v>262</v>
      </c>
      <c r="AB272">
        <f t="shared" si="140"/>
        <v>-62.62789543202922</v>
      </c>
      <c r="AC272">
        <f t="shared" si="141"/>
        <v>-445.62063093370665</v>
      </c>
      <c r="AD272">
        <v>262</v>
      </c>
      <c r="AE272">
        <f t="shared" si="142"/>
        <v>-90.462515624042211</v>
      </c>
      <c r="AF272">
        <f t="shared" si="143"/>
        <v>-643.67424468202069</v>
      </c>
      <c r="AV272">
        <v>262</v>
      </c>
      <c r="AW272">
        <f t="shared" si="144"/>
        <v>-97.421170672045463</v>
      </c>
      <c r="AX272">
        <f t="shared" si="145"/>
        <v>-693.18764811909921</v>
      </c>
      <c r="AZ272">
        <f t="shared" si="126"/>
        <v>494.97474683058317</v>
      </c>
      <c r="BA272">
        <f t="shared" si="127"/>
        <v>-494.9747468305834</v>
      </c>
    </row>
    <row r="273" spans="9:53" x14ac:dyDescent="0.25">
      <c r="I273">
        <v>263</v>
      </c>
      <c r="J273">
        <f t="shared" si="130"/>
        <v>-60.934671702573588</v>
      </c>
      <c r="K273">
        <f t="shared" si="131"/>
        <v>-496.27307582066106</v>
      </c>
      <c r="M273">
        <v>263</v>
      </c>
      <c r="N273">
        <f t="shared" si="132"/>
        <v>-70.074872457959628</v>
      </c>
      <c r="O273">
        <f t="shared" si="133"/>
        <v>-570.71403719376019</v>
      </c>
      <c r="Q273">
        <f t="shared" si="134"/>
        <v>-297.76384549239663</v>
      </c>
      <c r="R273">
        <f t="shared" si="135"/>
        <v>-36.560803021544153</v>
      </c>
      <c r="S273">
        <f t="shared" si="128"/>
        <v>-445.76384549239663</v>
      </c>
      <c r="T273">
        <f t="shared" si="129"/>
        <v>-36.560803021544153</v>
      </c>
      <c r="V273">
        <f t="shared" si="136"/>
        <v>-297.76384549239663</v>
      </c>
      <c r="W273">
        <f t="shared" si="137"/>
        <v>-36.560803021544153</v>
      </c>
      <c r="X273">
        <f t="shared" si="138"/>
        <v>-445.76384549239663</v>
      </c>
      <c r="Y273">
        <f t="shared" si="139"/>
        <v>-36.560803021544153</v>
      </c>
      <c r="AA273">
        <v>263</v>
      </c>
      <c r="AB273">
        <f t="shared" si="140"/>
        <v>-54.841204532316226</v>
      </c>
      <c r="AC273">
        <f t="shared" si="141"/>
        <v>-446.64576823859494</v>
      </c>
      <c r="AD273">
        <v>263</v>
      </c>
      <c r="AE273">
        <f t="shared" si="142"/>
        <v>-79.215073213345661</v>
      </c>
      <c r="AF273">
        <f t="shared" si="143"/>
        <v>-645.15499856685938</v>
      </c>
      <c r="AV273">
        <v>263</v>
      </c>
      <c r="AW273">
        <f t="shared" si="144"/>
        <v>-85.308540383603017</v>
      </c>
      <c r="AX273">
        <f t="shared" si="145"/>
        <v>-694.7823061489255</v>
      </c>
      <c r="AZ273">
        <f t="shared" si="126"/>
        <v>494.97474683058317</v>
      </c>
      <c r="BA273">
        <f t="shared" si="127"/>
        <v>-494.9747468305834</v>
      </c>
    </row>
    <row r="274" spans="9:53" x14ac:dyDescent="0.25">
      <c r="I274">
        <v>264</v>
      </c>
      <c r="J274">
        <f t="shared" si="130"/>
        <v>-52.264231633826682</v>
      </c>
      <c r="K274">
        <f t="shared" si="131"/>
        <v>-497.26094768413668</v>
      </c>
      <c r="M274">
        <v>264</v>
      </c>
      <c r="N274">
        <f t="shared" si="132"/>
        <v>-60.103866378900683</v>
      </c>
      <c r="O274">
        <f t="shared" si="133"/>
        <v>-571.85008983675721</v>
      </c>
      <c r="Q274">
        <f t="shared" si="134"/>
        <v>-298.35656861048204</v>
      </c>
      <c r="R274">
        <f t="shared" si="135"/>
        <v>-31.358538980296007</v>
      </c>
      <c r="S274">
        <f t="shared" si="128"/>
        <v>-446.35656861048204</v>
      </c>
      <c r="T274">
        <f t="shared" si="129"/>
        <v>-31.358538980296007</v>
      </c>
      <c r="V274">
        <f t="shared" si="136"/>
        <v>-298.35656861048204</v>
      </c>
      <c r="W274">
        <f t="shared" si="137"/>
        <v>-31.358538980296007</v>
      </c>
      <c r="X274">
        <f t="shared" si="138"/>
        <v>-446.35656861048204</v>
      </c>
      <c r="Y274">
        <f t="shared" si="139"/>
        <v>-31.358538980296007</v>
      </c>
      <c r="AA274">
        <v>264</v>
      </c>
      <c r="AB274">
        <f t="shared" si="140"/>
        <v>-47.037808470444013</v>
      </c>
      <c r="AC274">
        <f t="shared" si="141"/>
        <v>-447.53485291572304</v>
      </c>
      <c r="AD274">
        <v>264</v>
      </c>
      <c r="AE274">
        <f t="shared" si="142"/>
        <v>-67.943501123974684</v>
      </c>
      <c r="AF274">
        <f t="shared" si="143"/>
        <v>-646.43923198937773</v>
      </c>
      <c r="AV274">
        <v>264</v>
      </c>
      <c r="AW274">
        <f t="shared" si="144"/>
        <v>-73.169924287357347</v>
      </c>
      <c r="AX274">
        <f t="shared" si="145"/>
        <v>-696.16532675779138</v>
      </c>
      <c r="AZ274">
        <f t="shared" si="126"/>
        <v>494.97474683058317</v>
      </c>
      <c r="BA274">
        <f t="shared" si="127"/>
        <v>-494.9747468305834</v>
      </c>
    </row>
    <row r="275" spans="9:53" x14ac:dyDescent="0.25">
      <c r="I275">
        <v>265</v>
      </c>
      <c r="J275">
        <f t="shared" si="130"/>
        <v>-43.577871373829126</v>
      </c>
      <c r="K275">
        <f t="shared" si="131"/>
        <v>-498.09734904587276</v>
      </c>
      <c r="M275">
        <v>265</v>
      </c>
      <c r="N275">
        <f t="shared" si="132"/>
        <v>-50.11455207990349</v>
      </c>
      <c r="O275">
        <f t="shared" si="133"/>
        <v>-572.81195140275372</v>
      </c>
      <c r="Q275">
        <f t="shared" si="134"/>
        <v>-298.85840942752367</v>
      </c>
      <c r="R275">
        <f t="shared" si="135"/>
        <v>-26.146722824297473</v>
      </c>
      <c r="S275">
        <f t="shared" si="128"/>
        <v>-446.85840942752367</v>
      </c>
      <c r="T275">
        <f t="shared" si="129"/>
        <v>-26.146722824297473</v>
      </c>
      <c r="V275">
        <f t="shared" si="136"/>
        <v>-298.85840942752367</v>
      </c>
      <c r="W275">
        <f t="shared" si="137"/>
        <v>-26.146722824297473</v>
      </c>
      <c r="X275">
        <f t="shared" si="138"/>
        <v>-446.85840942752367</v>
      </c>
      <c r="Y275">
        <f t="shared" si="139"/>
        <v>-26.146722824297473</v>
      </c>
      <c r="AA275">
        <v>265</v>
      </c>
      <c r="AB275">
        <f t="shared" si="140"/>
        <v>-39.220084236446212</v>
      </c>
      <c r="AC275">
        <f t="shared" si="141"/>
        <v>-448.28761414128547</v>
      </c>
      <c r="AD275">
        <v>265</v>
      </c>
      <c r="AE275">
        <f t="shared" si="142"/>
        <v>-56.651232785977861</v>
      </c>
      <c r="AF275">
        <f t="shared" si="143"/>
        <v>-647.52655375963457</v>
      </c>
      <c r="AV275">
        <v>265</v>
      </c>
      <c r="AW275">
        <f t="shared" si="144"/>
        <v>-61.009019923360775</v>
      </c>
      <c r="AX275">
        <f t="shared" si="145"/>
        <v>-697.33628866422191</v>
      </c>
      <c r="AZ275">
        <f t="shared" si="126"/>
        <v>494.97474683058317</v>
      </c>
      <c r="BA275">
        <f t="shared" si="127"/>
        <v>-494.9747468305834</v>
      </c>
    </row>
    <row r="276" spans="9:53" x14ac:dyDescent="0.25">
      <c r="I276">
        <v>266</v>
      </c>
      <c r="J276">
        <f t="shared" si="130"/>
        <v>-34.878236872062793</v>
      </c>
      <c r="K276">
        <f t="shared" si="131"/>
        <v>-498.78202512991209</v>
      </c>
      <c r="M276">
        <v>266</v>
      </c>
      <c r="N276">
        <f t="shared" si="132"/>
        <v>-40.109972402872209</v>
      </c>
      <c r="O276">
        <f t="shared" si="133"/>
        <v>-573.59932889939887</v>
      </c>
      <c r="Q276">
        <f t="shared" si="134"/>
        <v>-299.26921507794725</v>
      </c>
      <c r="R276">
        <f t="shared" si="135"/>
        <v>-20.926942123237673</v>
      </c>
      <c r="S276">
        <f t="shared" si="128"/>
        <v>-447.26921507794725</v>
      </c>
      <c r="T276">
        <f t="shared" si="129"/>
        <v>-20.926942123237673</v>
      </c>
      <c r="V276">
        <f t="shared" si="136"/>
        <v>-299.26921507794725</v>
      </c>
      <c r="W276">
        <f t="shared" si="137"/>
        <v>-20.926942123237673</v>
      </c>
      <c r="X276">
        <f t="shared" si="138"/>
        <v>-447.26921507794725</v>
      </c>
      <c r="Y276">
        <f t="shared" si="139"/>
        <v>-20.926942123237673</v>
      </c>
      <c r="AA276">
        <v>266</v>
      </c>
      <c r="AB276">
        <f t="shared" si="140"/>
        <v>-31.390413184856509</v>
      </c>
      <c r="AC276">
        <f t="shared" si="141"/>
        <v>-448.90382261692088</v>
      </c>
      <c r="AD276">
        <v>266</v>
      </c>
      <c r="AE276">
        <f t="shared" si="142"/>
        <v>-45.341707933681626</v>
      </c>
      <c r="AF276">
        <f t="shared" si="143"/>
        <v>-648.41663266888577</v>
      </c>
      <c r="AV276">
        <v>266</v>
      </c>
      <c r="AW276">
        <f t="shared" si="144"/>
        <v>-48.829531620887906</v>
      </c>
      <c r="AX276">
        <f t="shared" si="145"/>
        <v>-698.29483518187692</v>
      </c>
      <c r="AZ276">
        <f t="shared" si="126"/>
        <v>494.97474683058317</v>
      </c>
      <c r="BA276">
        <f t="shared" si="127"/>
        <v>-494.9747468305834</v>
      </c>
    </row>
    <row r="277" spans="9:53" x14ac:dyDescent="0.25">
      <c r="I277">
        <v>267</v>
      </c>
      <c r="J277">
        <f t="shared" si="130"/>
        <v>-26.167978121472153</v>
      </c>
      <c r="K277">
        <f t="shared" si="131"/>
        <v>-499.3147673772869</v>
      </c>
      <c r="M277">
        <v>267</v>
      </c>
      <c r="N277">
        <f t="shared" si="132"/>
        <v>-30.093174839692978</v>
      </c>
      <c r="O277">
        <f t="shared" si="133"/>
        <v>-574.21198248387998</v>
      </c>
      <c r="Q277">
        <f t="shared" si="134"/>
        <v>-299.58886042637215</v>
      </c>
      <c r="R277">
        <f t="shared" si="135"/>
        <v>-15.700786872883292</v>
      </c>
      <c r="S277">
        <f t="shared" si="128"/>
        <v>-447.58886042637215</v>
      </c>
      <c r="T277">
        <f t="shared" si="129"/>
        <v>-15.700786872883292</v>
      </c>
      <c r="V277">
        <f t="shared" si="136"/>
        <v>-299.58886042637215</v>
      </c>
      <c r="W277">
        <f t="shared" si="137"/>
        <v>-15.700786872883292</v>
      </c>
      <c r="X277">
        <f t="shared" si="138"/>
        <v>-447.58886042637215</v>
      </c>
      <c r="Y277">
        <f t="shared" si="139"/>
        <v>-15.700786872883292</v>
      </c>
      <c r="AA277">
        <v>267</v>
      </c>
      <c r="AB277">
        <f t="shared" si="140"/>
        <v>-23.551180309324938</v>
      </c>
      <c r="AC277">
        <f t="shared" si="141"/>
        <v>-449.3832906395582</v>
      </c>
      <c r="AD277">
        <v>267</v>
      </c>
      <c r="AE277">
        <f t="shared" si="142"/>
        <v>-34.018371557913802</v>
      </c>
      <c r="AF277">
        <f t="shared" si="143"/>
        <v>-649.10919759047295</v>
      </c>
      <c r="AV277">
        <v>267</v>
      </c>
      <c r="AW277">
        <f t="shared" si="144"/>
        <v>-36.635169370061014</v>
      </c>
      <c r="AX277">
        <f t="shared" si="145"/>
        <v>-699.0406743282017</v>
      </c>
      <c r="AZ277">
        <f t="shared" si="126"/>
        <v>494.97474683058317</v>
      </c>
      <c r="BA277">
        <f t="shared" si="127"/>
        <v>-494.9747468305834</v>
      </c>
    </row>
    <row r="278" spans="9:53" x14ac:dyDescent="0.25">
      <c r="I278">
        <v>268</v>
      </c>
      <c r="J278">
        <f t="shared" si="130"/>
        <v>-17.449748351250825</v>
      </c>
      <c r="K278">
        <f t="shared" si="131"/>
        <v>-499.69541350954785</v>
      </c>
      <c r="M278">
        <v>268</v>
      </c>
      <c r="N278">
        <f t="shared" si="132"/>
        <v>-20.067210603938449</v>
      </c>
      <c r="O278">
        <f t="shared" si="133"/>
        <v>-574.64972553598</v>
      </c>
      <c r="Q278">
        <f t="shared" si="134"/>
        <v>-299.81724810572871</v>
      </c>
      <c r="R278">
        <f t="shared" si="135"/>
        <v>-10.469849010750496</v>
      </c>
      <c r="S278">
        <f t="shared" si="128"/>
        <v>-447.81724810572871</v>
      </c>
      <c r="T278">
        <f t="shared" si="129"/>
        <v>-10.469849010750496</v>
      </c>
      <c r="V278">
        <f t="shared" si="136"/>
        <v>-299.81724810572871</v>
      </c>
      <c r="W278">
        <f t="shared" si="137"/>
        <v>-10.469849010750496</v>
      </c>
      <c r="X278">
        <f t="shared" si="138"/>
        <v>-447.81724810572871</v>
      </c>
      <c r="Y278">
        <f t="shared" si="139"/>
        <v>-10.469849010750496</v>
      </c>
      <c r="AA278">
        <v>268</v>
      </c>
      <c r="AB278">
        <f t="shared" si="140"/>
        <v>-15.704773516125742</v>
      </c>
      <c r="AC278">
        <f t="shared" si="141"/>
        <v>-449.72587215859306</v>
      </c>
      <c r="AD278">
        <v>268</v>
      </c>
      <c r="AE278">
        <f t="shared" si="142"/>
        <v>-22.684672856626072</v>
      </c>
      <c r="AF278">
        <f t="shared" si="143"/>
        <v>-649.60403756241215</v>
      </c>
      <c r="AV278">
        <v>268</v>
      </c>
      <c r="AW278">
        <f t="shared" si="144"/>
        <v>-24.429647691751153</v>
      </c>
      <c r="AX278">
        <f t="shared" si="145"/>
        <v>-699.57357891336699</v>
      </c>
      <c r="AZ278">
        <f t="shared" si="126"/>
        <v>494.97474683058317</v>
      </c>
      <c r="BA278">
        <f t="shared" si="127"/>
        <v>-494.9747468305834</v>
      </c>
    </row>
    <row r="279" spans="9:53" x14ac:dyDescent="0.25">
      <c r="I279">
        <v>269</v>
      </c>
      <c r="J279">
        <f t="shared" si="130"/>
        <v>-8.7262032186417482</v>
      </c>
      <c r="K279">
        <f t="shared" si="131"/>
        <v>-499.92384757819565</v>
      </c>
      <c r="M279">
        <v>269</v>
      </c>
      <c r="N279">
        <f t="shared" si="132"/>
        <v>-10.035133701438012</v>
      </c>
      <c r="O279">
        <f t="shared" si="133"/>
        <v>-574.91242471492501</v>
      </c>
      <c r="Q279">
        <f t="shared" si="134"/>
        <v>-299.95430854691739</v>
      </c>
      <c r="R279">
        <f t="shared" si="135"/>
        <v>-5.2357219311850489</v>
      </c>
      <c r="S279">
        <f t="shared" si="128"/>
        <v>-447.95430854691739</v>
      </c>
      <c r="T279">
        <f t="shared" si="129"/>
        <v>-5.2357219311850489</v>
      </c>
      <c r="V279">
        <f t="shared" si="136"/>
        <v>-299.95430854691739</v>
      </c>
      <c r="W279">
        <f t="shared" si="137"/>
        <v>-5.2357219311850489</v>
      </c>
      <c r="X279">
        <f t="shared" si="138"/>
        <v>-447.95430854691739</v>
      </c>
      <c r="Y279">
        <f t="shared" si="139"/>
        <v>-5.2357219311850489</v>
      </c>
      <c r="AA279">
        <v>269</v>
      </c>
      <c r="AB279">
        <f t="shared" si="140"/>
        <v>-7.8535828967775743</v>
      </c>
      <c r="AC279">
        <f t="shared" si="141"/>
        <v>-449.93146282037605</v>
      </c>
      <c r="AD279">
        <v>269</v>
      </c>
      <c r="AE279">
        <f t="shared" si="142"/>
        <v>-11.344064184234274</v>
      </c>
      <c r="AF279">
        <f t="shared" si="143"/>
        <v>-649.90100185165431</v>
      </c>
      <c r="AV279">
        <v>269</v>
      </c>
      <c r="AW279">
        <f t="shared" si="144"/>
        <v>-12.216684506098449</v>
      </c>
      <c r="AX279">
        <f t="shared" si="145"/>
        <v>-699.89338660947385</v>
      </c>
      <c r="AZ279">
        <f t="shared" si="126"/>
        <v>494.97474683058317</v>
      </c>
      <c r="BA279">
        <f t="shared" si="127"/>
        <v>-494.9747468305834</v>
      </c>
    </row>
    <row r="280" spans="9:53" x14ac:dyDescent="0.25">
      <c r="I280">
        <v>270</v>
      </c>
      <c r="J280">
        <f t="shared" si="130"/>
        <v>-9.1886134118146501E-14</v>
      </c>
      <c r="K280">
        <f t="shared" si="131"/>
        <v>-500</v>
      </c>
      <c r="M280">
        <v>270</v>
      </c>
      <c r="N280">
        <f t="shared" si="132"/>
        <v>-1.0566905423586848E-13</v>
      </c>
      <c r="O280">
        <f t="shared" si="133"/>
        <v>-575</v>
      </c>
      <c r="Q280">
        <f t="shared" si="134"/>
        <v>-300</v>
      </c>
      <c r="R280">
        <f t="shared" si="135"/>
        <v>-5.51316804708879E-14</v>
      </c>
      <c r="S280">
        <f t="shared" si="128"/>
        <v>-448</v>
      </c>
      <c r="T280">
        <f t="shared" si="129"/>
        <v>-5.51316804708879E-14</v>
      </c>
      <c r="V280">
        <f t="shared" si="136"/>
        <v>-300</v>
      </c>
      <c r="W280">
        <f t="shared" si="137"/>
        <v>-5.51316804708879E-14</v>
      </c>
      <c r="X280">
        <f t="shared" si="138"/>
        <v>-448</v>
      </c>
      <c r="Y280">
        <f t="shared" si="139"/>
        <v>-5.51316804708879E-14</v>
      </c>
      <c r="AA280">
        <v>270</v>
      </c>
      <c r="AB280">
        <f t="shared" si="140"/>
        <v>-8.2697520706331851E-14</v>
      </c>
      <c r="AC280">
        <f t="shared" si="141"/>
        <v>-450</v>
      </c>
      <c r="AD280">
        <v>270</v>
      </c>
      <c r="AE280">
        <f t="shared" si="142"/>
        <v>-1.1945197435359045E-13</v>
      </c>
      <c r="AF280">
        <f t="shared" si="143"/>
        <v>-650</v>
      </c>
      <c r="AV280">
        <v>270</v>
      </c>
      <c r="AW280">
        <f t="shared" si="144"/>
        <v>-1.286405877654051E-13</v>
      </c>
      <c r="AX280">
        <f t="shared" si="145"/>
        <v>-700</v>
      </c>
      <c r="AZ280">
        <f t="shared" si="126"/>
        <v>494.97474683058317</v>
      </c>
      <c r="BA280">
        <f t="shared" si="127"/>
        <v>-494.9747468305834</v>
      </c>
    </row>
    <row r="281" spans="9:53" x14ac:dyDescent="0.25">
      <c r="I281">
        <v>271</v>
      </c>
      <c r="J281">
        <f t="shared" si="130"/>
        <v>8.7262032186415652</v>
      </c>
      <c r="K281">
        <f t="shared" si="131"/>
        <v>-499.92384757819565</v>
      </c>
      <c r="M281">
        <v>271</v>
      </c>
      <c r="N281">
        <f t="shared" si="132"/>
        <v>10.0351337014378</v>
      </c>
      <c r="O281">
        <f t="shared" si="133"/>
        <v>-574.91242471492501</v>
      </c>
      <c r="Q281">
        <f t="shared" si="134"/>
        <v>-299.95430854691739</v>
      </c>
      <c r="R281">
        <f t="shared" si="135"/>
        <v>5.2357219311849388</v>
      </c>
      <c r="S281">
        <f t="shared" si="128"/>
        <v>-447.95430854691739</v>
      </c>
      <c r="T281">
        <f t="shared" si="129"/>
        <v>5.2357219311849388</v>
      </c>
      <c r="V281">
        <f t="shared" si="136"/>
        <v>-299.95430854691739</v>
      </c>
      <c r="W281">
        <f t="shared" si="137"/>
        <v>5.2357219311849388</v>
      </c>
      <c r="X281">
        <f t="shared" si="138"/>
        <v>-447.95430854691739</v>
      </c>
      <c r="Y281">
        <f t="shared" si="139"/>
        <v>5.2357219311849388</v>
      </c>
      <c r="AA281">
        <v>271</v>
      </c>
      <c r="AB281">
        <f t="shared" si="140"/>
        <v>7.8535828967774082</v>
      </c>
      <c r="AC281">
        <f t="shared" si="141"/>
        <v>-449.93146282037605</v>
      </c>
      <c r="AD281">
        <v>271</v>
      </c>
      <c r="AE281">
        <f t="shared" si="142"/>
        <v>11.344064184234034</v>
      </c>
      <c r="AF281">
        <f t="shared" si="143"/>
        <v>-649.90100185165431</v>
      </c>
      <c r="AV281">
        <v>271</v>
      </c>
      <c r="AW281">
        <f t="shared" si="144"/>
        <v>12.216684506098192</v>
      </c>
      <c r="AX281">
        <f t="shared" si="145"/>
        <v>-699.89338660947385</v>
      </c>
      <c r="AZ281">
        <f t="shared" si="126"/>
        <v>494.97474683058317</v>
      </c>
      <c r="BA281">
        <f t="shared" si="127"/>
        <v>-494.9747468305834</v>
      </c>
    </row>
    <row r="282" spans="9:53" x14ac:dyDescent="0.25">
      <c r="I282">
        <v>272</v>
      </c>
      <c r="J282">
        <f t="shared" si="130"/>
        <v>17.449748351250641</v>
      </c>
      <c r="K282">
        <f t="shared" si="131"/>
        <v>-499.6954135095479</v>
      </c>
      <c r="M282">
        <v>272</v>
      </c>
      <c r="N282">
        <f t="shared" si="132"/>
        <v>20.067210603938236</v>
      </c>
      <c r="O282">
        <f t="shared" si="133"/>
        <v>-574.64972553598011</v>
      </c>
      <c r="Q282">
        <f t="shared" si="134"/>
        <v>-299.81724810572871</v>
      </c>
      <c r="R282">
        <f t="shared" si="135"/>
        <v>10.469849010750384</v>
      </c>
      <c r="S282">
        <f t="shared" si="128"/>
        <v>-447.81724810572871</v>
      </c>
      <c r="T282">
        <f t="shared" si="129"/>
        <v>10.469849010750384</v>
      </c>
      <c r="V282">
        <f t="shared" si="136"/>
        <v>-299.81724810572871</v>
      </c>
      <c r="W282">
        <f t="shared" si="137"/>
        <v>10.469849010750384</v>
      </c>
      <c r="X282">
        <f t="shared" si="138"/>
        <v>-447.81724810572871</v>
      </c>
      <c r="Y282">
        <f t="shared" si="139"/>
        <v>10.469849010750384</v>
      </c>
      <c r="AA282">
        <v>272</v>
      </c>
      <c r="AB282">
        <f t="shared" si="140"/>
        <v>15.704773516125577</v>
      </c>
      <c r="AC282">
        <f t="shared" si="141"/>
        <v>-449.72587215859312</v>
      </c>
      <c r="AD282">
        <v>272</v>
      </c>
      <c r="AE282">
        <f t="shared" si="142"/>
        <v>22.684672856625834</v>
      </c>
      <c r="AF282">
        <f t="shared" si="143"/>
        <v>-649.60403756241226</v>
      </c>
      <c r="AV282">
        <v>272</v>
      </c>
      <c r="AW282">
        <f t="shared" si="144"/>
        <v>24.429647691750898</v>
      </c>
      <c r="AX282">
        <f t="shared" si="145"/>
        <v>-699.57357891336699</v>
      </c>
      <c r="AZ282">
        <f t="shared" si="126"/>
        <v>494.97474683058317</v>
      </c>
      <c r="BA282">
        <f t="shared" si="127"/>
        <v>-494.9747468305834</v>
      </c>
    </row>
    <row r="283" spans="9:53" x14ac:dyDescent="0.25">
      <c r="I283">
        <v>273</v>
      </c>
      <c r="J283">
        <f t="shared" si="130"/>
        <v>26.167978121471972</v>
      </c>
      <c r="K283">
        <f t="shared" si="131"/>
        <v>-499.3147673772869</v>
      </c>
      <c r="M283">
        <v>273</v>
      </c>
      <c r="N283">
        <f t="shared" si="132"/>
        <v>30.093174839692768</v>
      </c>
      <c r="O283">
        <f t="shared" si="133"/>
        <v>-574.21198248387998</v>
      </c>
      <c r="Q283">
        <f t="shared" si="134"/>
        <v>-299.58886042637215</v>
      </c>
      <c r="R283">
        <f t="shared" si="135"/>
        <v>15.700786872883183</v>
      </c>
      <c r="S283">
        <f t="shared" si="128"/>
        <v>-447.58886042637215</v>
      </c>
      <c r="T283">
        <f t="shared" si="129"/>
        <v>15.700786872883183</v>
      </c>
      <c r="V283">
        <f t="shared" si="136"/>
        <v>-299.58886042637215</v>
      </c>
      <c r="W283">
        <f t="shared" si="137"/>
        <v>15.700786872883183</v>
      </c>
      <c r="X283">
        <f t="shared" si="138"/>
        <v>-447.58886042637215</v>
      </c>
      <c r="Y283">
        <f t="shared" si="139"/>
        <v>15.700786872883183</v>
      </c>
      <c r="AA283">
        <v>273</v>
      </c>
      <c r="AB283">
        <f t="shared" si="140"/>
        <v>23.551180309324774</v>
      </c>
      <c r="AC283">
        <f t="shared" si="141"/>
        <v>-449.3832906395582</v>
      </c>
      <c r="AD283">
        <v>273</v>
      </c>
      <c r="AE283">
        <f t="shared" si="142"/>
        <v>34.018371557913568</v>
      </c>
      <c r="AF283">
        <f t="shared" si="143"/>
        <v>-649.10919759047295</v>
      </c>
      <c r="AV283">
        <v>273</v>
      </c>
      <c r="AW283">
        <f t="shared" si="144"/>
        <v>36.635169370060765</v>
      </c>
      <c r="AX283">
        <f t="shared" si="145"/>
        <v>-699.0406743282017</v>
      </c>
      <c r="AZ283">
        <f t="shared" si="126"/>
        <v>494.97474683058317</v>
      </c>
      <c r="BA283">
        <f t="shared" si="127"/>
        <v>-494.9747468305834</v>
      </c>
    </row>
    <row r="284" spans="9:53" x14ac:dyDescent="0.25">
      <c r="I284">
        <v>274</v>
      </c>
      <c r="J284">
        <f t="shared" si="130"/>
        <v>34.878236872062608</v>
      </c>
      <c r="K284">
        <f t="shared" si="131"/>
        <v>-498.78202512991214</v>
      </c>
      <c r="M284">
        <v>274</v>
      </c>
      <c r="N284">
        <f t="shared" si="132"/>
        <v>40.109972402872003</v>
      </c>
      <c r="O284">
        <f t="shared" si="133"/>
        <v>-573.59932889939898</v>
      </c>
      <c r="Q284">
        <f t="shared" si="134"/>
        <v>-299.26921507794731</v>
      </c>
      <c r="R284">
        <f t="shared" si="135"/>
        <v>20.926942123237566</v>
      </c>
      <c r="S284">
        <f t="shared" si="128"/>
        <v>-447.26921507794731</v>
      </c>
      <c r="T284">
        <f t="shared" si="129"/>
        <v>20.926942123237566</v>
      </c>
      <c r="V284">
        <f t="shared" si="136"/>
        <v>-299.26921507794731</v>
      </c>
      <c r="W284">
        <f t="shared" si="137"/>
        <v>20.926942123237566</v>
      </c>
      <c r="X284">
        <f t="shared" si="138"/>
        <v>-447.26921507794731</v>
      </c>
      <c r="Y284">
        <f t="shared" si="139"/>
        <v>20.926942123237566</v>
      </c>
      <c r="AA284">
        <v>274</v>
      </c>
      <c r="AB284">
        <f t="shared" si="140"/>
        <v>31.390413184856349</v>
      </c>
      <c r="AC284">
        <f t="shared" si="141"/>
        <v>-448.90382261692093</v>
      </c>
      <c r="AD284">
        <v>274</v>
      </c>
      <c r="AE284">
        <f t="shared" si="142"/>
        <v>45.341707933681391</v>
      </c>
      <c r="AF284">
        <f t="shared" si="143"/>
        <v>-648.41663266888577</v>
      </c>
      <c r="AV284">
        <v>274</v>
      </c>
      <c r="AW284">
        <f t="shared" si="144"/>
        <v>48.82953162088765</v>
      </c>
      <c r="AX284">
        <f t="shared" si="145"/>
        <v>-698.29483518187703</v>
      </c>
      <c r="AZ284">
        <f t="shared" si="126"/>
        <v>494.97474683058317</v>
      </c>
      <c r="BA284">
        <f t="shared" si="127"/>
        <v>-494.9747468305834</v>
      </c>
    </row>
    <row r="285" spans="9:53" x14ac:dyDescent="0.25">
      <c r="I285">
        <v>275</v>
      </c>
      <c r="J285">
        <f t="shared" si="130"/>
        <v>43.577871373828941</v>
      </c>
      <c r="K285">
        <f t="shared" si="131"/>
        <v>-498.09734904587276</v>
      </c>
      <c r="M285">
        <v>275</v>
      </c>
      <c r="N285">
        <f t="shared" si="132"/>
        <v>50.114552079903284</v>
      </c>
      <c r="O285">
        <f t="shared" si="133"/>
        <v>-572.81195140275372</v>
      </c>
      <c r="Q285">
        <f t="shared" si="134"/>
        <v>-298.85840942752367</v>
      </c>
      <c r="R285">
        <f t="shared" si="135"/>
        <v>26.146722824297367</v>
      </c>
      <c r="S285">
        <f t="shared" si="128"/>
        <v>-446.85840942752367</v>
      </c>
      <c r="T285">
        <f t="shared" si="129"/>
        <v>26.146722824297367</v>
      </c>
      <c r="V285">
        <f t="shared" si="136"/>
        <v>-298.85840942752367</v>
      </c>
      <c r="W285">
        <f t="shared" si="137"/>
        <v>26.146722824297367</v>
      </c>
      <c r="X285">
        <f t="shared" si="138"/>
        <v>-446.85840942752367</v>
      </c>
      <c r="Y285">
        <f t="shared" si="139"/>
        <v>26.146722824297367</v>
      </c>
      <c r="AA285">
        <v>275</v>
      </c>
      <c r="AB285">
        <f t="shared" si="140"/>
        <v>39.220084236446048</v>
      </c>
      <c r="AC285">
        <f t="shared" si="141"/>
        <v>-448.28761414128547</v>
      </c>
      <c r="AD285">
        <v>275</v>
      </c>
      <c r="AE285">
        <f t="shared" si="142"/>
        <v>56.651232785977626</v>
      </c>
      <c r="AF285">
        <f t="shared" si="143"/>
        <v>-647.52655375963457</v>
      </c>
      <c r="AV285">
        <v>275</v>
      </c>
      <c r="AW285">
        <f t="shared" si="144"/>
        <v>61.009019923360519</v>
      </c>
      <c r="AX285">
        <f t="shared" si="145"/>
        <v>-697.33628866422191</v>
      </c>
      <c r="AZ285">
        <f t="shared" si="126"/>
        <v>494.97474683058317</v>
      </c>
      <c r="BA285">
        <f t="shared" si="127"/>
        <v>-494.9747468305834</v>
      </c>
    </row>
    <row r="286" spans="9:53" x14ac:dyDescent="0.25">
      <c r="I286">
        <v>276</v>
      </c>
      <c r="J286">
        <f t="shared" si="130"/>
        <v>52.264231633826491</v>
      </c>
      <c r="K286">
        <f t="shared" si="131"/>
        <v>-497.26094768413668</v>
      </c>
      <c r="M286">
        <v>276</v>
      </c>
      <c r="N286">
        <f t="shared" si="132"/>
        <v>60.103866378900463</v>
      </c>
      <c r="O286">
        <f t="shared" si="133"/>
        <v>-571.85008983675721</v>
      </c>
      <c r="Q286">
        <f t="shared" si="134"/>
        <v>-298.35656861048204</v>
      </c>
      <c r="R286">
        <f t="shared" si="135"/>
        <v>31.358538980295897</v>
      </c>
      <c r="S286">
        <f t="shared" si="128"/>
        <v>-446.35656861048204</v>
      </c>
      <c r="T286">
        <f t="shared" si="129"/>
        <v>31.358538980295897</v>
      </c>
      <c r="V286">
        <f t="shared" si="136"/>
        <v>-298.35656861048204</v>
      </c>
      <c r="W286">
        <f t="shared" si="137"/>
        <v>31.358538980295897</v>
      </c>
      <c r="X286">
        <f t="shared" si="138"/>
        <v>-446.35656861048204</v>
      </c>
      <c r="Y286">
        <f t="shared" si="139"/>
        <v>31.358538980295897</v>
      </c>
      <c r="AA286">
        <v>276</v>
      </c>
      <c r="AB286">
        <f t="shared" si="140"/>
        <v>47.037808470443842</v>
      </c>
      <c r="AC286">
        <f t="shared" si="141"/>
        <v>-447.53485291572304</v>
      </c>
      <c r="AD286">
        <v>276</v>
      </c>
      <c r="AE286">
        <f t="shared" si="142"/>
        <v>67.943501123974443</v>
      </c>
      <c r="AF286">
        <f t="shared" si="143"/>
        <v>-646.43923198937773</v>
      </c>
      <c r="AV286">
        <v>276</v>
      </c>
      <c r="AW286">
        <f t="shared" si="144"/>
        <v>73.169924287357091</v>
      </c>
      <c r="AX286">
        <f t="shared" si="145"/>
        <v>-696.16532675779138</v>
      </c>
      <c r="AZ286">
        <f t="shared" si="126"/>
        <v>494.97474683058317</v>
      </c>
      <c r="BA286">
        <f t="shared" si="127"/>
        <v>-494.9747468305834</v>
      </c>
    </row>
    <row r="287" spans="9:53" x14ac:dyDescent="0.25">
      <c r="I287">
        <v>277</v>
      </c>
      <c r="J287">
        <f t="shared" si="130"/>
        <v>60.934671702573844</v>
      </c>
      <c r="K287">
        <f t="shared" si="131"/>
        <v>-496.27307582066101</v>
      </c>
      <c r="M287">
        <v>277</v>
      </c>
      <c r="N287">
        <f t="shared" si="132"/>
        <v>70.074872457959913</v>
      </c>
      <c r="O287">
        <f t="shared" si="133"/>
        <v>-570.71403719376019</v>
      </c>
      <c r="Q287">
        <f t="shared" si="134"/>
        <v>-297.76384549239657</v>
      </c>
      <c r="R287">
        <f t="shared" si="135"/>
        <v>36.560803021544302</v>
      </c>
      <c r="S287">
        <f t="shared" si="128"/>
        <v>-445.76384549239657</v>
      </c>
      <c r="T287">
        <f t="shared" si="129"/>
        <v>36.560803021544302</v>
      </c>
      <c r="V287">
        <f t="shared" si="136"/>
        <v>-297.76384549239657</v>
      </c>
      <c r="W287">
        <f t="shared" si="137"/>
        <v>36.560803021544302</v>
      </c>
      <c r="X287">
        <f t="shared" si="138"/>
        <v>-445.76384549239657</v>
      </c>
      <c r="Y287">
        <f t="shared" si="139"/>
        <v>36.560803021544302</v>
      </c>
      <c r="AA287">
        <v>277</v>
      </c>
      <c r="AB287">
        <f t="shared" si="140"/>
        <v>54.841204532316461</v>
      </c>
      <c r="AC287">
        <f t="shared" si="141"/>
        <v>-446.64576823859488</v>
      </c>
      <c r="AD287">
        <v>277</v>
      </c>
      <c r="AE287">
        <f t="shared" si="142"/>
        <v>79.215073213345988</v>
      </c>
      <c r="AF287">
        <f t="shared" si="143"/>
        <v>-645.15499856685926</v>
      </c>
      <c r="AV287">
        <v>277</v>
      </c>
      <c r="AW287">
        <f t="shared" si="144"/>
        <v>85.308540383603372</v>
      </c>
      <c r="AX287">
        <f t="shared" si="145"/>
        <v>-694.78230614892539</v>
      </c>
      <c r="AZ287">
        <f t="shared" si="126"/>
        <v>494.97474683058317</v>
      </c>
      <c r="BA287">
        <f t="shared" si="127"/>
        <v>-494.9747468305834</v>
      </c>
    </row>
    <row r="288" spans="9:53" x14ac:dyDescent="0.25">
      <c r="I288">
        <v>278</v>
      </c>
      <c r="J288">
        <f t="shared" si="130"/>
        <v>69.586550480032727</v>
      </c>
      <c r="K288">
        <f t="shared" si="131"/>
        <v>-495.13403437078517</v>
      </c>
      <c r="M288">
        <v>278</v>
      </c>
      <c r="N288">
        <f t="shared" si="132"/>
        <v>80.02453305203764</v>
      </c>
      <c r="O288">
        <f t="shared" si="133"/>
        <v>-569.40413952640301</v>
      </c>
      <c r="Q288">
        <f t="shared" si="134"/>
        <v>-297.08042062247108</v>
      </c>
      <c r="R288">
        <f t="shared" si="135"/>
        <v>41.751930288019636</v>
      </c>
      <c r="S288">
        <f t="shared" si="128"/>
        <v>-445.08042062247108</v>
      </c>
      <c r="T288">
        <f t="shared" si="129"/>
        <v>41.751930288019636</v>
      </c>
      <c r="V288">
        <f t="shared" si="136"/>
        <v>-297.08042062247108</v>
      </c>
      <c r="W288">
        <f t="shared" si="137"/>
        <v>41.751930288019636</v>
      </c>
      <c r="X288">
        <f t="shared" si="138"/>
        <v>-445.08042062247108</v>
      </c>
      <c r="Y288">
        <f t="shared" si="139"/>
        <v>41.751930288019636</v>
      </c>
      <c r="AA288">
        <v>278</v>
      </c>
      <c r="AB288">
        <f t="shared" si="140"/>
        <v>62.627895432029462</v>
      </c>
      <c r="AC288">
        <f t="shared" si="141"/>
        <v>-445.62063093370665</v>
      </c>
      <c r="AD288">
        <v>278</v>
      </c>
      <c r="AE288">
        <f t="shared" si="142"/>
        <v>90.462515624042553</v>
      </c>
      <c r="AF288">
        <f t="shared" si="143"/>
        <v>-643.67424468202069</v>
      </c>
      <c r="AV288">
        <v>278</v>
      </c>
      <c r="AW288">
        <f t="shared" si="144"/>
        <v>97.421170672045832</v>
      </c>
      <c r="AX288">
        <f t="shared" si="145"/>
        <v>-693.18764811909921</v>
      </c>
      <c r="AZ288">
        <f t="shared" si="126"/>
        <v>494.97474683058317</v>
      </c>
      <c r="BA288">
        <f t="shared" si="127"/>
        <v>-494.9747468305834</v>
      </c>
    </row>
    <row r="289" spans="9:53" x14ac:dyDescent="0.25">
      <c r="I289">
        <v>279</v>
      </c>
      <c r="J289">
        <f t="shared" si="130"/>
        <v>78.217232520115331</v>
      </c>
      <c r="K289">
        <f t="shared" si="131"/>
        <v>-493.84417029756889</v>
      </c>
      <c r="M289">
        <v>279</v>
      </c>
      <c r="N289">
        <f t="shared" si="132"/>
        <v>89.949817398132637</v>
      </c>
      <c r="O289">
        <f t="shared" si="133"/>
        <v>-567.92079584220426</v>
      </c>
      <c r="Q289">
        <f t="shared" si="134"/>
        <v>-296.30650217854134</v>
      </c>
      <c r="R289">
        <f t="shared" si="135"/>
        <v>46.930339512069203</v>
      </c>
      <c r="S289">
        <f t="shared" si="128"/>
        <v>-444.30650217854134</v>
      </c>
      <c r="T289">
        <f t="shared" si="129"/>
        <v>46.930339512069203</v>
      </c>
      <c r="V289">
        <f t="shared" si="136"/>
        <v>-296.30650217854134</v>
      </c>
      <c r="W289">
        <f t="shared" si="137"/>
        <v>46.930339512069203</v>
      </c>
      <c r="X289">
        <f t="shared" si="138"/>
        <v>-444.30650217854134</v>
      </c>
      <c r="Y289">
        <f t="shared" si="139"/>
        <v>46.930339512069203</v>
      </c>
      <c r="AA289">
        <v>279</v>
      </c>
      <c r="AB289">
        <f t="shared" si="140"/>
        <v>70.395509268103808</v>
      </c>
      <c r="AC289">
        <f t="shared" si="141"/>
        <v>-444.459753267812</v>
      </c>
      <c r="AD289">
        <v>279</v>
      </c>
      <c r="AE289">
        <f t="shared" si="142"/>
        <v>101.68240227614994</v>
      </c>
      <c r="AF289">
        <f t="shared" si="143"/>
        <v>-641.99742138683951</v>
      </c>
      <c r="AV289">
        <v>279</v>
      </c>
      <c r="AW289">
        <f t="shared" si="144"/>
        <v>109.50412552816147</v>
      </c>
      <c r="AX289">
        <f t="shared" si="145"/>
        <v>-691.38183841659645</v>
      </c>
      <c r="AZ289">
        <f t="shared" si="126"/>
        <v>494.97474683058317</v>
      </c>
      <c r="BA289">
        <f t="shared" si="127"/>
        <v>-494.9747468305834</v>
      </c>
    </row>
    <row r="290" spans="9:53" x14ac:dyDescent="0.25">
      <c r="I290">
        <v>280</v>
      </c>
      <c r="J290">
        <f t="shared" si="130"/>
        <v>86.824088833464984</v>
      </c>
      <c r="K290">
        <f t="shared" si="131"/>
        <v>-492.40387650610404</v>
      </c>
      <c r="M290">
        <v>280</v>
      </c>
      <c r="N290">
        <f t="shared" si="132"/>
        <v>99.847702158484736</v>
      </c>
      <c r="O290">
        <f t="shared" si="133"/>
        <v>-566.26445798201962</v>
      </c>
      <c r="Q290">
        <f t="shared" si="134"/>
        <v>-295.44232590366244</v>
      </c>
      <c r="R290">
        <f t="shared" si="135"/>
        <v>52.094453300078989</v>
      </c>
      <c r="S290">
        <f t="shared" si="128"/>
        <v>-443.44232590366244</v>
      </c>
      <c r="T290">
        <f t="shared" si="129"/>
        <v>52.094453300078989</v>
      </c>
      <c r="V290">
        <f t="shared" si="136"/>
        <v>-295.44232590366244</v>
      </c>
      <c r="W290">
        <f t="shared" si="137"/>
        <v>52.094453300078989</v>
      </c>
      <c r="X290">
        <f t="shared" si="138"/>
        <v>-443.44232590366244</v>
      </c>
      <c r="Y290">
        <f t="shared" si="139"/>
        <v>52.094453300078989</v>
      </c>
      <c r="AA290">
        <v>280</v>
      </c>
      <c r="AB290">
        <f t="shared" si="140"/>
        <v>78.141679950118487</v>
      </c>
      <c r="AC290">
        <f t="shared" si="141"/>
        <v>-443.16348885549365</v>
      </c>
      <c r="AD290">
        <v>280</v>
      </c>
      <c r="AE290">
        <f t="shared" si="142"/>
        <v>112.87131548350447</v>
      </c>
      <c r="AF290">
        <f t="shared" si="143"/>
        <v>-640.12503945793526</v>
      </c>
      <c r="AV290">
        <v>280</v>
      </c>
      <c r="AW290">
        <f t="shared" si="144"/>
        <v>121.55372436685099</v>
      </c>
      <c r="AX290">
        <f t="shared" si="145"/>
        <v>-689.36542710854565</v>
      </c>
      <c r="AZ290">
        <f t="shared" si="126"/>
        <v>494.97474683058317</v>
      </c>
      <c r="BA290">
        <f t="shared" si="127"/>
        <v>-494.9747468305834</v>
      </c>
    </row>
    <row r="291" spans="9:53" x14ac:dyDescent="0.25">
      <c r="I291">
        <v>281</v>
      </c>
      <c r="J291">
        <f t="shared" si="130"/>
        <v>95.40449768827213</v>
      </c>
      <c r="K291">
        <f t="shared" si="131"/>
        <v>-490.81359172383202</v>
      </c>
      <c r="M291">
        <v>281</v>
      </c>
      <c r="N291">
        <f t="shared" si="132"/>
        <v>109.71517234151294</v>
      </c>
      <c r="O291">
        <f t="shared" si="133"/>
        <v>-564.43563048240685</v>
      </c>
      <c r="Q291">
        <f t="shared" si="134"/>
        <v>-294.48815503429921</v>
      </c>
      <c r="R291">
        <f t="shared" si="135"/>
        <v>57.242698612963274</v>
      </c>
      <c r="S291">
        <f t="shared" si="128"/>
        <v>-442.48815503429921</v>
      </c>
      <c r="T291">
        <f t="shared" si="129"/>
        <v>57.242698612963274</v>
      </c>
      <c r="V291">
        <f t="shared" si="136"/>
        <v>-294.48815503429921</v>
      </c>
      <c r="W291">
        <f t="shared" si="137"/>
        <v>57.242698612963274</v>
      </c>
      <c r="X291">
        <f t="shared" si="138"/>
        <v>-442.48815503429921</v>
      </c>
      <c r="Y291">
        <f t="shared" si="139"/>
        <v>57.242698612963274</v>
      </c>
      <c r="AA291">
        <v>281</v>
      </c>
      <c r="AB291">
        <f t="shared" si="140"/>
        <v>85.864047919444914</v>
      </c>
      <c r="AC291">
        <f t="shared" si="141"/>
        <v>-441.73223255144882</v>
      </c>
      <c r="AD291">
        <v>281</v>
      </c>
      <c r="AE291">
        <f t="shared" si="142"/>
        <v>124.02584699475376</v>
      </c>
      <c r="AF291">
        <f t="shared" si="143"/>
        <v>-638.05766924098168</v>
      </c>
      <c r="AV291">
        <v>281</v>
      </c>
      <c r="AW291">
        <f t="shared" si="144"/>
        <v>133.56629676358097</v>
      </c>
      <c r="AX291">
        <f t="shared" si="145"/>
        <v>-687.13902841336483</v>
      </c>
      <c r="AZ291">
        <f t="shared" si="126"/>
        <v>494.97474683058317</v>
      </c>
      <c r="BA291">
        <f t="shared" si="127"/>
        <v>-494.9747468305834</v>
      </c>
    </row>
    <row r="292" spans="9:53" x14ac:dyDescent="0.25">
      <c r="I292">
        <v>282</v>
      </c>
      <c r="J292">
        <f t="shared" si="130"/>
        <v>103.95584540887928</v>
      </c>
      <c r="K292">
        <f t="shared" si="131"/>
        <v>-489.0738003669029</v>
      </c>
      <c r="M292">
        <v>282</v>
      </c>
      <c r="N292">
        <f t="shared" si="132"/>
        <v>119.54922222021118</v>
      </c>
      <c r="O292">
        <f t="shared" si="133"/>
        <v>-562.43487042193829</v>
      </c>
      <c r="Q292">
        <f t="shared" si="134"/>
        <v>-293.44428022014176</v>
      </c>
      <c r="R292">
        <f t="shared" si="135"/>
        <v>62.373507245327566</v>
      </c>
      <c r="S292">
        <f t="shared" si="128"/>
        <v>-441.44428022014176</v>
      </c>
      <c r="T292">
        <f t="shared" si="129"/>
        <v>62.373507245327566</v>
      </c>
      <c r="V292">
        <f t="shared" si="136"/>
        <v>-293.44428022014176</v>
      </c>
      <c r="W292">
        <f t="shared" si="137"/>
        <v>62.373507245327566</v>
      </c>
      <c r="X292">
        <f t="shared" si="138"/>
        <v>-441.44428022014176</v>
      </c>
      <c r="Y292">
        <f t="shared" si="139"/>
        <v>62.373507245327566</v>
      </c>
      <c r="AA292">
        <v>282</v>
      </c>
      <c r="AB292">
        <f t="shared" si="140"/>
        <v>93.56026086799136</v>
      </c>
      <c r="AC292">
        <f t="shared" si="141"/>
        <v>-440.16642033021259</v>
      </c>
      <c r="AD292">
        <v>282</v>
      </c>
      <c r="AE292">
        <f t="shared" si="142"/>
        <v>135.14259903154306</v>
      </c>
      <c r="AF292">
        <f t="shared" si="143"/>
        <v>-635.79594047697378</v>
      </c>
      <c r="AV292">
        <v>282</v>
      </c>
      <c r="AW292">
        <f t="shared" si="144"/>
        <v>145.538183572431</v>
      </c>
      <c r="AX292">
        <f t="shared" si="145"/>
        <v>-684.70332051366404</v>
      </c>
      <c r="AZ292">
        <f t="shared" si="126"/>
        <v>494.97474683058317</v>
      </c>
      <c r="BA292">
        <f t="shared" si="127"/>
        <v>-494.9747468305834</v>
      </c>
    </row>
    <row r="293" spans="9:53" x14ac:dyDescent="0.25">
      <c r="I293">
        <v>283</v>
      </c>
      <c r="J293">
        <f t="shared" si="130"/>
        <v>112.47552717193246</v>
      </c>
      <c r="K293">
        <f t="shared" si="131"/>
        <v>-487.18503239261764</v>
      </c>
      <c r="M293">
        <v>283</v>
      </c>
      <c r="N293">
        <f t="shared" si="132"/>
        <v>129.34685624772234</v>
      </c>
      <c r="O293">
        <f t="shared" si="133"/>
        <v>-560.2627872515103</v>
      </c>
      <c r="Q293">
        <f t="shared" si="134"/>
        <v>-292.31101943557059</v>
      </c>
      <c r="R293">
        <f t="shared" si="135"/>
        <v>67.485316303159479</v>
      </c>
      <c r="S293">
        <f t="shared" si="128"/>
        <v>-440.31101943557059</v>
      </c>
      <c r="T293">
        <f t="shared" si="129"/>
        <v>67.485316303159479</v>
      </c>
      <c r="V293">
        <f t="shared" si="136"/>
        <v>-292.31101943557059</v>
      </c>
      <c r="W293">
        <f t="shared" si="137"/>
        <v>67.485316303159479</v>
      </c>
      <c r="X293">
        <f t="shared" si="138"/>
        <v>-440.31101943557059</v>
      </c>
      <c r="Y293">
        <f t="shared" si="139"/>
        <v>67.485316303159479</v>
      </c>
      <c r="AA293">
        <v>283</v>
      </c>
      <c r="AB293">
        <f t="shared" si="140"/>
        <v>101.22797445473921</v>
      </c>
      <c r="AC293">
        <f t="shared" si="141"/>
        <v>-438.46652915335585</v>
      </c>
      <c r="AD293">
        <v>283</v>
      </c>
      <c r="AE293">
        <f t="shared" si="142"/>
        <v>146.21818532351219</v>
      </c>
      <c r="AF293">
        <f t="shared" si="143"/>
        <v>-633.34054211040291</v>
      </c>
      <c r="AV293">
        <v>283</v>
      </c>
      <c r="AW293">
        <f t="shared" si="144"/>
        <v>157.46573804070545</v>
      </c>
      <c r="AX293">
        <f t="shared" si="145"/>
        <v>-682.05904534966464</v>
      </c>
      <c r="AZ293">
        <f t="shared" si="126"/>
        <v>494.97474683058317</v>
      </c>
      <c r="BA293">
        <f t="shared" si="127"/>
        <v>-494.9747468305834</v>
      </c>
    </row>
    <row r="294" spans="9:53" x14ac:dyDescent="0.25">
      <c r="I294">
        <v>284</v>
      </c>
      <c r="J294">
        <f t="shared" si="130"/>
        <v>120.96094779983373</v>
      </c>
      <c r="K294">
        <f t="shared" si="131"/>
        <v>-485.14786313799829</v>
      </c>
      <c r="M294">
        <v>284</v>
      </c>
      <c r="N294">
        <f t="shared" si="132"/>
        <v>139.10508996980877</v>
      </c>
      <c r="O294">
        <f t="shared" si="133"/>
        <v>-557.92004260869805</v>
      </c>
      <c r="Q294">
        <f t="shared" si="134"/>
        <v>-291.08871788279896</v>
      </c>
      <c r="R294">
        <f t="shared" si="135"/>
        <v>72.576568679900234</v>
      </c>
      <c r="S294">
        <f t="shared" si="128"/>
        <v>-439.08871788279896</v>
      </c>
      <c r="T294">
        <f t="shared" si="129"/>
        <v>72.576568679900234</v>
      </c>
      <c r="V294">
        <f t="shared" si="136"/>
        <v>-291.08871788279896</v>
      </c>
      <c r="W294">
        <f t="shared" si="137"/>
        <v>72.576568679900234</v>
      </c>
      <c r="X294">
        <f t="shared" si="138"/>
        <v>-439.08871788279896</v>
      </c>
      <c r="Y294">
        <f t="shared" si="139"/>
        <v>72.576568679900234</v>
      </c>
      <c r="AA294">
        <v>284</v>
      </c>
      <c r="AB294">
        <f t="shared" si="140"/>
        <v>108.86485301985036</v>
      </c>
      <c r="AC294">
        <f t="shared" si="141"/>
        <v>-436.63307682419844</v>
      </c>
      <c r="AD294">
        <v>284</v>
      </c>
      <c r="AE294">
        <f t="shared" si="142"/>
        <v>157.24923213978386</v>
      </c>
      <c r="AF294">
        <f t="shared" si="143"/>
        <v>-630.69222207939777</v>
      </c>
      <c r="AV294">
        <v>284</v>
      </c>
      <c r="AW294">
        <f t="shared" si="144"/>
        <v>169.34532691976722</v>
      </c>
      <c r="AX294">
        <f t="shared" si="145"/>
        <v>-679.20700839319761</v>
      </c>
      <c r="AZ294">
        <f t="shared" si="126"/>
        <v>494.97474683058317</v>
      </c>
      <c r="BA294">
        <f t="shared" si="127"/>
        <v>-494.9747468305834</v>
      </c>
    </row>
    <row r="295" spans="9:53" x14ac:dyDescent="0.25">
      <c r="I295">
        <v>285</v>
      </c>
      <c r="J295">
        <f t="shared" si="130"/>
        <v>129.40952255126055</v>
      </c>
      <c r="K295">
        <f t="shared" si="131"/>
        <v>-482.96291314453413</v>
      </c>
      <c r="M295">
        <v>285</v>
      </c>
      <c r="N295">
        <f t="shared" si="132"/>
        <v>148.82095093394966</v>
      </c>
      <c r="O295">
        <f t="shared" si="133"/>
        <v>-555.40735011621416</v>
      </c>
      <c r="Q295">
        <f t="shared" si="134"/>
        <v>-289.77774788672048</v>
      </c>
      <c r="R295">
        <f t="shared" si="135"/>
        <v>77.645713530756339</v>
      </c>
      <c r="S295">
        <f t="shared" si="128"/>
        <v>-437.77774788672048</v>
      </c>
      <c r="T295">
        <f t="shared" si="129"/>
        <v>77.645713530756339</v>
      </c>
      <c r="V295">
        <f t="shared" si="136"/>
        <v>-289.77774788672048</v>
      </c>
      <c r="W295">
        <f t="shared" si="137"/>
        <v>77.645713530756339</v>
      </c>
      <c r="X295">
        <f t="shared" si="138"/>
        <v>-437.77774788672048</v>
      </c>
      <c r="Y295">
        <f t="shared" si="139"/>
        <v>77.645713530756339</v>
      </c>
      <c r="AA295">
        <v>285</v>
      </c>
      <c r="AB295">
        <f t="shared" si="140"/>
        <v>116.4685702961345</v>
      </c>
      <c r="AC295">
        <f t="shared" si="141"/>
        <v>-434.66662183008071</v>
      </c>
      <c r="AD295">
        <v>285</v>
      </c>
      <c r="AE295">
        <f t="shared" si="142"/>
        <v>168.23237931663874</v>
      </c>
      <c r="AF295">
        <f t="shared" si="143"/>
        <v>-627.85178708789431</v>
      </c>
      <c r="AV295">
        <v>285</v>
      </c>
      <c r="AW295">
        <f t="shared" si="144"/>
        <v>181.17333157176478</v>
      </c>
      <c r="AX295">
        <f t="shared" si="145"/>
        <v>-676.14807840234778</v>
      </c>
      <c r="AZ295">
        <f t="shared" si="126"/>
        <v>494.97474683058317</v>
      </c>
      <c r="BA295">
        <f t="shared" si="127"/>
        <v>-494.9747468305834</v>
      </c>
    </row>
    <row r="296" spans="9:53" x14ac:dyDescent="0.25">
      <c r="I296">
        <v>286</v>
      </c>
      <c r="J296">
        <f t="shared" si="130"/>
        <v>137.81867790849969</v>
      </c>
      <c r="K296">
        <f t="shared" si="131"/>
        <v>-480.63084796915939</v>
      </c>
      <c r="M296">
        <v>286</v>
      </c>
      <c r="N296">
        <f t="shared" si="132"/>
        <v>158.49147959477466</v>
      </c>
      <c r="O296">
        <f t="shared" si="133"/>
        <v>-552.72547516453335</v>
      </c>
      <c r="Q296">
        <f t="shared" si="134"/>
        <v>-288.37850878149561</v>
      </c>
      <c r="R296">
        <f t="shared" si="135"/>
        <v>82.691206745099819</v>
      </c>
      <c r="S296">
        <f t="shared" si="128"/>
        <v>-436.37850878149561</v>
      </c>
      <c r="T296">
        <f t="shared" si="129"/>
        <v>82.691206745099819</v>
      </c>
      <c r="V296">
        <f t="shared" si="136"/>
        <v>-288.37850878149561</v>
      </c>
      <c r="W296">
        <f t="shared" si="137"/>
        <v>82.691206745099819</v>
      </c>
      <c r="X296">
        <f t="shared" si="138"/>
        <v>-436.37850878149561</v>
      </c>
      <c r="Y296">
        <f t="shared" si="139"/>
        <v>82.691206745099819</v>
      </c>
      <c r="AA296">
        <v>286</v>
      </c>
      <c r="AB296">
        <f t="shared" si="140"/>
        <v>124.03681011764972</v>
      </c>
      <c r="AC296">
        <f t="shared" si="141"/>
        <v>-432.56776317224347</v>
      </c>
      <c r="AD296">
        <v>286</v>
      </c>
      <c r="AE296">
        <f t="shared" si="142"/>
        <v>179.1642812810496</v>
      </c>
      <c r="AF296">
        <f t="shared" si="143"/>
        <v>-624.8201023599072</v>
      </c>
      <c r="AV296">
        <v>286</v>
      </c>
      <c r="AW296">
        <f t="shared" si="144"/>
        <v>192.94614907189958</v>
      </c>
      <c r="AX296">
        <f t="shared" si="145"/>
        <v>-672.88318715682317</v>
      </c>
      <c r="AZ296">
        <f t="shared" si="126"/>
        <v>494.97474683058317</v>
      </c>
      <c r="BA296">
        <f t="shared" si="127"/>
        <v>-494.9747468305834</v>
      </c>
    </row>
    <row r="297" spans="9:53" x14ac:dyDescent="0.25">
      <c r="I297">
        <v>287</v>
      </c>
      <c r="J297">
        <f t="shared" si="130"/>
        <v>146.18585236136835</v>
      </c>
      <c r="K297">
        <f t="shared" si="131"/>
        <v>-478.1523779815177</v>
      </c>
      <c r="M297">
        <v>287</v>
      </c>
      <c r="N297">
        <f t="shared" si="132"/>
        <v>168.11373021557361</v>
      </c>
      <c r="O297">
        <f t="shared" si="133"/>
        <v>-549.87523467874541</v>
      </c>
      <c r="Q297">
        <f t="shared" si="134"/>
        <v>-286.89142678891062</v>
      </c>
      <c r="R297">
        <f t="shared" si="135"/>
        <v>87.711511416821011</v>
      </c>
      <c r="S297">
        <f t="shared" si="128"/>
        <v>-434.89142678891062</v>
      </c>
      <c r="T297">
        <f t="shared" si="129"/>
        <v>87.711511416821011</v>
      </c>
      <c r="V297">
        <f t="shared" si="136"/>
        <v>-286.89142678891062</v>
      </c>
      <c r="W297">
        <f t="shared" si="137"/>
        <v>87.711511416821011</v>
      </c>
      <c r="X297">
        <f t="shared" si="138"/>
        <v>-434.89142678891062</v>
      </c>
      <c r="Y297">
        <f t="shared" si="139"/>
        <v>87.711511416821011</v>
      </c>
      <c r="AA297">
        <v>287</v>
      </c>
      <c r="AB297">
        <f t="shared" si="140"/>
        <v>131.56726712523152</v>
      </c>
      <c r="AC297">
        <f t="shared" si="141"/>
        <v>-430.33714018336593</v>
      </c>
      <c r="AD297">
        <v>287</v>
      </c>
      <c r="AE297">
        <f t="shared" si="142"/>
        <v>190.04160806977887</v>
      </c>
      <c r="AF297">
        <f t="shared" si="143"/>
        <v>-621.59809137597301</v>
      </c>
      <c r="AV297">
        <v>287</v>
      </c>
      <c r="AW297">
        <f t="shared" si="144"/>
        <v>204.6601933059157</v>
      </c>
      <c r="AX297">
        <f t="shared" si="145"/>
        <v>-669.41332917412478</v>
      </c>
      <c r="AZ297">
        <f t="shared" si="126"/>
        <v>494.97474683058317</v>
      </c>
      <c r="BA297">
        <f t="shared" si="127"/>
        <v>-494.9747468305834</v>
      </c>
    </row>
    <row r="298" spans="9:53" x14ac:dyDescent="0.25">
      <c r="I298">
        <v>288</v>
      </c>
      <c r="J298">
        <f t="shared" si="130"/>
        <v>154.50849718747361</v>
      </c>
      <c r="K298">
        <f t="shared" si="131"/>
        <v>-475.52825814757682</v>
      </c>
      <c r="M298">
        <v>288</v>
      </c>
      <c r="N298">
        <f t="shared" si="132"/>
        <v>177.68477176559466</v>
      </c>
      <c r="O298">
        <f t="shared" si="133"/>
        <v>-546.85749686971337</v>
      </c>
      <c r="Q298">
        <f t="shared" si="134"/>
        <v>-285.31695488854609</v>
      </c>
      <c r="R298">
        <f t="shared" si="135"/>
        <v>92.705098312484168</v>
      </c>
      <c r="S298">
        <f t="shared" si="128"/>
        <v>-433.31695488854609</v>
      </c>
      <c r="T298">
        <f t="shared" si="129"/>
        <v>92.705098312484168</v>
      </c>
      <c r="V298">
        <f t="shared" si="136"/>
        <v>-285.31695488854609</v>
      </c>
      <c r="W298">
        <f t="shared" si="137"/>
        <v>92.705098312484168</v>
      </c>
      <c r="X298">
        <f t="shared" si="138"/>
        <v>-433.31695488854609</v>
      </c>
      <c r="Y298">
        <f t="shared" si="139"/>
        <v>92.705098312484168</v>
      </c>
      <c r="AA298">
        <v>288</v>
      </c>
      <c r="AB298">
        <f t="shared" si="140"/>
        <v>139.05764746872626</v>
      </c>
      <c r="AC298">
        <f t="shared" si="141"/>
        <v>-427.97543233281914</v>
      </c>
      <c r="AD298">
        <v>288</v>
      </c>
      <c r="AE298">
        <f t="shared" si="142"/>
        <v>200.86104634371569</v>
      </c>
      <c r="AF298">
        <f t="shared" si="143"/>
        <v>-618.18673559184981</v>
      </c>
      <c r="AV298">
        <v>288</v>
      </c>
      <c r="AW298">
        <f t="shared" si="144"/>
        <v>216.31189606246306</v>
      </c>
      <c r="AX298">
        <f t="shared" si="145"/>
        <v>-665.73956140660755</v>
      </c>
      <c r="AZ298">
        <f t="shared" si="126"/>
        <v>494.97474683058317</v>
      </c>
      <c r="BA298">
        <f t="shared" si="127"/>
        <v>-494.9747468305834</v>
      </c>
    </row>
    <row r="299" spans="9:53" x14ac:dyDescent="0.25">
      <c r="I299">
        <v>289</v>
      </c>
      <c r="J299">
        <f t="shared" si="130"/>
        <v>162.78407722857816</v>
      </c>
      <c r="K299">
        <f t="shared" si="131"/>
        <v>-472.75928779965847</v>
      </c>
      <c r="M299">
        <v>289</v>
      </c>
      <c r="N299">
        <f t="shared" si="132"/>
        <v>187.20168881286489</v>
      </c>
      <c r="O299">
        <f t="shared" si="133"/>
        <v>-543.6731809696073</v>
      </c>
      <c r="Q299">
        <f t="shared" si="134"/>
        <v>-283.65557267979511</v>
      </c>
      <c r="R299">
        <f t="shared" si="135"/>
        <v>97.670446337146899</v>
      </c>
      <c r="S299">
        <f t="shared" si="128"/>
        <v>-431.65557267979511</v>
      </c>
      <c r="T299">
        <f t="shared" si="129"/>
        <v>97.670446337146899</v>
      </c>
      <c r="V299">
        <f t="shared" si="136"/>
        <v>-283.65557267979511</v>
      </c>
      <c r="W299">
        <f t="shared" si="137"/>
        <v>97.670446337146899</v>
      </c>
      <c r="X299">
        <f t="shared" si="138"/>
        <v>-431.65557267979511</v>
      </c>
      <c r="Y299">
        <f t="shared" si="139"/>
        <v>97.670446337146899</v>
      </c>
      <c r="AA299">
        <v>289</v>
      </c>
      <c r="AB299">
        <f t="shared" si="140"/>
        <v>146.50566950572033</v>
      </c>
      <c r="AC299">
        <f t="shared" si="141"/>
        <v>-425.48335901969261</v>
      </c>
      <c r="AD299">
        <v>289</v>
      </c>
      <c r="AE299">
        <f t="shared" si="142"/>
        <v>211.61930039715159</v>
      </c>
      <c r="AF299">
        <f t="shared" si="143"/>
        <v>-614.58707413955597</v>
      </c>
      <c r="AV299">
        <v>289</v>
      </c>
      <c r="AW299">
        <f t="shared" si="144"/>
        <v>227.89770812000941</v>
      </c>
      <c r="AX299">
        <f t="shared" si="145"/>
        <v>-661.86300291952182</v>
      </c>
      <c r="AZ299">
        <f t="shared" si="126"/>
        <v>494.97474683058317</v>
      </c>
      <c r="BA299">
        <f t="shared" si="127"/>
        <v>-494.9747468305834</v>
      </c>
    </row>
    <row r="300" spans="9:53" x14ac:dyDescent="0.25">
      <c r="I300">
        <v>290</v>
      </c>
      <c r="J300">
        <f t="shared" si="130"/>
        <v>171.01007166283406</v>
      </c>
      <c r="K300">
        <f t="shared" si="131"/>
        <v>-469.84631039295425</v>
      </c>
      <c r="M300">
        <v>290</v>
      </c>
      <c r="N300">
        <f t="shared" si="132"/>
        <v>196.66158241225918</v>
      </c>
      <c r="O300">
        <f t="shared" si="133"/>
        <v>-540.32325695189741</v>
      </c>
      <c r="Q300">
        <f t="shared" si="134"/>
        <v>-281.90778623577256</v>
      </c>
      <c r="R300">
        <f t="shared" si="135"/>
        <v>102.60604299770044</v>
      </c>
      <c r="S300">
        <f t="shared" si="128"/>
        <v>-429.90778623577256</v>
      </c>
      <c r="T300">
        <f t="shared" si="129"/>
        <v>102.60604299770044</v>
      </c>
      <c r="V300">
        <f t="shared" si="136"/>
        <v>-281.90778623577256</v>
      </c>
      <c r="W300">
        <f t="shared" si="137"/>
        <v>102.60604299770044</v>
      </c>
      <c r="X300">
        <f t="shared" si="138"/>
        <v>-429.90778623577256</v>
      </c>
      <c r="Y300">
        <f t="shared" si="139"/>
        <v>102.60604299770044</v>
      </c>
      <c r="AA300">
        <v>290</v>
      </c>
      <c r="AB300">
        <f t="shared" si="140"/>
        <v>153.90906449655068</v>
      </c>
      <c r="AC300">
        <f t="shared" si="141"/>
        <v>-422.86167935365881</v>
      </c>
      <c r="AD300">
        <v>290</v>
      </c>
      <c r="AE300">
        <f t="shared" si="142"/>
        <v>222.31309316168429</v>
      </c>
      <c r="AF300">
        <f t="shared" si="143"/>
        <v>-610.80020351084056</v>
      </c>
      <c r="AV300">
        <v>290</v>
      </c>
      <c r="AW300">
        <f t="shared" si="144"/>
        <v>239.4141003279677</v>
      </c>
      <c r="AX300">
        <f t="shared" si="145"/>
        <v>-657.784834550136</v>
      </c>
      <c r="AZ300">
        <f t="shared" si="126"/>
        <v>494.97474683058317</v>
      </c>
      <c r="BA300">
        <f t="shared" si="127"/>
        <v>-494.9747468305834</v>
      </c>
    </row>
    <row r="301" spans="9:53" x14ac:dyDescent="0.25">
      <c r="I301">
        <v>291</v>
      </c>
      <c r="J301">
        <f t="shared" si="130"/>
        <v>179.18397477264978</v>
      </c>
      <c r="K301">
        <f t="shared" si="131"/>
        <v>-466.79021324860105</v>
      </c>
      <c r="M301">
        <v>291</v>
      </c>
      <c r="N301">
        <f t="shared" si="132"/>
        <v>206.06157098854723</v>
      </c>
      <c r="O301">
        <f t="shared" si="133"/>
        <v>-536.80874523589114</v>
      </c>
      <c r="Q301">
        <f t="shared" si="134"/>
        <v>-280.07412794916064</v>
      </c>
      <c r="R301">
        <f t="shared" si="135"/>
        <v>107.51038486358986</v>
      </c>
      <c r="S301">
        <f t="shared" si="128"/>
        <v>-428.07412794916064</v>
      </c>
      <c r="T301">
        <f t="shared" si="129"/>
        <v>107.51038486358986</v>
      </c>
      <c r="V301">
        <f t="shared" si="136"/>
        <v>-280.07412794916064</v>
      </c>
      <c r="W301">
        <f t="shared" si="137"/>
        <v>107.51038486358986</v>
      </c>
      <c r="X301">
        <f t="shared" si="138"/>
        <v>-428.07412794916064</v>
      </c>
      <c r="Y301">
        <f t="shared" si="139"/>
        <v>107.51038486358986</v>
      </c>
      <c r="AA301">
        <v>291</v>
      </c>
      <c r="AB301">
        <f t="shared" si="140"/>
        <v>161.26557729538479</v>
      </c>
      <c r="AC301">
        <f t="shared" si="141"/>
        <v>-420.11119192374093</v>
      </c>
      <c r="AD301">
        <v>291</v>
      </c>
      <c r="AE301">
        <f t="shared" si="142"/>
        <v>232.93916720444471</v>
      </c>
      <c r="AF301">
        <f t="shared" si="143"/>
        <v>-606.82727722318134</v>
      </c>
      <c r="AV301">
        <v>291</v>
      </c>
      <c r="AW301">
        <f t="shared" si="144"/>
        <v>250.85756468170968</v>
      </c>
      <c r="AX301">
        <f t="shared" si="145"/>
        <v>-653.5062985480414</v>
      </c>
      <c r="AZ301">
        <f t="shared" si="126"/>
        <v>494.97474683058317</v>
      </c>
      <c r="BA301">
        <f t="shared" si="127"/>
        <v>-494.9747468305834</v>
      </c>
    </row>
    <row r="302" spans="9:53" x14ac:dyDescent="0.25">
      <c r="I302">
        <v>292</v>
      </c>
      <c r="J302">
        <f t="shared" si="130"/>
        <v>187.30329670795598</v>
      </c>
      <c r="K302">
        <f t="shared" si="131"/>
        <v>-463.59192728339372</v>
      </c>
      <c r="M302">
        <v>292</v>
      </c>
      <c r="N302">
        <f t="shared" si="132"/>
        <v>215.39879121414938</v>
      </c>
      <c r="O302">
        <f t="shared" si="133"/>
        <v>-533.13071637590281</v>
      </c>
      <c r="Q302">
        <f t="shared" si="134"/>
        <v>-278.15515637003625</v>
      </c>
      <c r="R302">
        <f t="shared" si="135"/>
        <v>112.38197802477359</v>
      </c>
      <c r="S302">
        <f t="shared" si="128"/>
        <v>-426.15515637003625</v>
      </c>
      <c r="T302">
        <f t="shared" si="129"/>
        <v>112.38197802477359</v>
      </c>
      <c r="V302">
        <f t="shared" si="136"/>
        <v>-278.15515637003625</v>
      </c>
      <c r="W302">
        <f t="shared" si="137"/>
        <v>112.38197802477359</v>
      </c>
      <c r="X302">
        <f t="shared" si="138"/>
        <v>-426.15515637003625</v>
      </c>
      <c r="Y302">
        <f t="shared" si="139"/>
        <v>112.38197802477359</v>
      </c>
      <c r="AA302">
        <v>292</v>
      </c>
      <c r="AB302">
        <f t="shared" si="140"/>
        <v>168.57296703716037</v>
      </c>
      <c r="AC302">
        <f t="shared" si="141"/>
        <v>-417.23273455505432</v>
      </c>
      <c r="AD302">
        <v>292</v>
      </c>
      <c r="AE302">
        <f t="shared" si="142"/>
        <v>243.49428572034276</v>
      </c>
      <c r="AF302">
        <f t="shared" si="143"/>
        <v>-602.66950546841178</v>
      </c>
      <c r="AV302">
        <v>292</v>
      </c>
      <c r="AW302">
        <f t="shared" si="144"/>
        <v>262.2246153911384</v>
      </c>
      <c r="AX302">
        <f t="shared" si="145"/>
        <v>-649.02869819675118</v>
      </c>
      <c r="AZ302">
        <f t="shared" si="126"/>
        <v>494.97474683058317</v>
      </c>
      <c r="BA302">
        <f t="shared" si="127"/>
        <v>-494.9747468305834</v>
      </c>
    </row>
    <row r="303" spans="9:53" x14ac:dyDescent="0.25">
      <c r="I303">
        <v>293</v>
      </c>
      <c r="J303">
        <f t="shared" si="130"/>
        <v>195.36556424463674</v>
      </c>
      <c r="K303">
        <f t="shared" si="131"/>
        <v>-460.25242672622022</v>
      </c>
      <c r="M303">
        <v>293</v>
      </c>
      <c r="N303">
        <f t="shared" si="132"/>
        <v>224.67039888133226</v>
      </c>
      <c r="O303">
        <f t="shared" si="133"/>
        <v>-529.29029073515323</v>
      </c>
      <c r="Q303">
        <f t="shared" si="134"/>
        <v>-276.15145603573217</v>
      </c>
      <c r="R303">
        <f t="shared" si="135"/>
        <v>117.21933854678205</v>
      </c>
      <c r="S303">
        <f t="shared" si="128"/>
        <v>-424.15145603573217</v>
      </c>
      <c r="T303">
        <f t="shared" si="129"/>
        <v>117.21933854678205</v>
      </c>
      <c r="V303">
        <f t="shared" si="136"/>
        <v>-276.15145603573217</v>
      </c>
      <c r="W303">
        <f t="shared" si="137"/>
        <v>117.21933854678205</v>
      </c>
      <c r="X303">
        <f t="shared" si="138"/>
        <v>-424.15145603573217</v>
      </c>
      <c r="Y303">
        <f t="shared" si="139"/>
        <v>117.21933854678205</v>
      </c>
      <c r="AA303">
        <v>293</v>
      </c>
      <c r="AB303">
        <f t="shared" si="140"/>
        <v>175.82900782017308</v>
      </c>
      <c r="AC303">
        <f t="shared" si="141"/>
        <v>-414.22718405359819</v>
      </c>
      <c r="AD303">
        <v>293</v>
      </c>
      <c r="AE303">
        <f t="shared" si="142"/>
        <v>253.97523351802778</v>
      </c>
      <c r="AF303">
        <f t="shared" si="143"/>
        <v>-598.32815474408631</v>
      </c>
      <c r="AV303">
        <v>293</v>
      </c>
      <c r="AW303">
        <f t="shared" si="144"/>
        <v>273.51178994249142</v>
      </c>
      <c r="AX303">
        <f t="shared" si="145"/>
        <v>-644.35339741670839</v>
      </c>
      <c r="AZ303">
        <f t="shared" si="126"/>
        <v>494.97474683058317</v>
      </c>
      <c r="BA303">
        <f t="shared" si="127"/>
        <v>-494.9747468305834</v>
      </c>
    </row>
    <row r="304" spans="9:53" x14ac:dyDescent="0.25">
      <c r="I304">
        <v>294</v>
      </c>
      <c r="J304">
        <f t="shared" si="130"/>
        <v>203.36832153790027</v>
      </c>
      <c r="K304">
        <f t="shared" si="131"/>
        <v>-456.7727288213004</v>
      </c>
      <c r="M304">
        <v>294</v>
      </c>
      <c r="N304">
        <f t="shared" si="132"/>
        <v>233.8735697685853</v>
      </c>
      <c r="O304">
        <f t="shared" si="133"/>
        <v>-525.28863814449539</v>
      </c>
      <c r="Q304">
        <f t="shared" si="134"/>
        <v>-274.06363729278024</v>
      </c>
      <c r="R304">
        <f t="shared" si="135"/>
        <v>122.02099292274016</v>
      </c>
      <c r="S304">
        <f t="shared" si="128"/>
        <v>-422.06363729278024</v>
      </c>
      <c r="T304">
        <f t="shared" si="129"/>
        <v>122.02099292274016</v>
      </c>
      <c r="V304">
        <f t="shared" si="136"/>
        <v>-274.06363729278024</v>
      </c>
      <c r="W304">
        <f t="shared" si="137"/>
        <v>122.02099292274016</v>
      </c>
      <c r="X304">
        <f t="shared" si="138"/>
        <v>-422.06363729278024</v>
      </c>
      <c r="Y304">
        <f t="shared" si="139"/>
        <v>122.02099292274016</v>
      </c>
      <c r="AA304">
        <v>294</v>
      </c>
      <c r="AB304">
        <f t="shared" si="140"/>
        <v>183.03148938411024</v>
      </c>
      <c r="AC304">
        <f t="shared" si="141"/>
        <v>-411.09545593917034</v>
      </c>
      <c r="AD304">
        <v>294</v>
      </c>
      <c r="AE304">
        <f t="shared" si="142"/>
        <v>264.37881799927032</v>
      </c>
      <c r="AF304">
        <f t="shared" si="143"/>
        <v>-593.80454746769044</v>
      </c>
      <c r="AV304">
        <v>294</v>
      </c>
      <c r="AW304">
        <f t="shared" si="144"/>
        <v>284.71565015306038</v>
      </c>
      <c r="AX304">
        <f t="shared" si="145"/>
        <v>-639.48182034982051</v>
      </c>
      <c r="AZ304">
        <f t="shared" si="126"/>
        <v>494.97474683058317</v>
      </c>
      <c r="BA304">
        <f t="shared" si="127"/>
        <v>-494.9747468305834</v>
      </c>
    </row>
    <row r="305" spans="9:53" x14ac:dyDescent="0.25">
      <c r="I305">
        <v>295</v>
      </c>
      <c r="J305">
        <f t="shared" si="130"/>
        <v>211.3091308703498</v>
      </c>
      <c r="K305">
        <f t="shared" si="131"/>
        <v>-453.15389351832499</v>
      </c>
      <c r="M305">
        <v>295</v>
      </c>
      <c r="N305">
        <f t="shared" si="132"/>
        <v>243.00550050090229</v>
      </c>
      <c r="O305">
        <f t="shared" si="133"/>
        <v>-521.1269775460737</v>
      </c>
      <c r="Q305">
        <f t="shared" si="134"/>
        <v>-271.89233611099496</v>
      </c>
      <c r="R305">
        <f t="shared" si="135"/>
        <v>126.78547852220989</v>
      </c>
      <c r="S305">
        <f t="shared" si="128"/>
        <v>-419.89233611099496</v>
      </c>
      <c r="T305">
        <f t="shared" si="129"/>
        <v>126.78547852220989</v>
      </c>
      <c r="V305">
        <f t="shared" si="136"/>
        <v>-271.89233611099496</v>
      </c>
      <c r="W305">
        <f t="shared" si="137"/>
        <v>126.78547852220989</v>
      </c>
      <c r="X305">
        <f t="shared" si="138"/>
        <v>-419.89233611099496</v>
      </c>
      <c r="Y305">
        <f t="shared" si="139"/>
        <v>126.78547852220989</v>
      </c>
      <c r="AA305">
        <v>295</v>
      </c>
      <c r="AB305">
        <f t="shared" si="140"/>
        <v>190.17821778331484</v>
      </c>
      <c r="AC305">
        <f t="shared" si="141"/>
        <v>-407.8385041664925</v>
      </c>
      <c r="AD305">
        <v>295</v>
      </c>
      <c r="AE305">
        <f t="shared" si="142"/>
        <v>274.70187013145477</v>
      </c>
      <c r="AF305">
        <f t="shared" si="143"/>
        <v>-589.10006157382247</v>
      </c>
      <c r="AV305">
        <v>295</v>
      </c>
      <c r="AW305">
        <f t="shared" si="144"/>
        <v>295.83278321848974</v>
      </c>
      <c r="AX305">
        <f t="shared" si="145"/>
        <v>-634.41545092565491</v>
      </c>
      <c r="AZ305">
        <f t="shared" si="126"/>
        <v>494.97474683058317</v>
      </c>
      <c r="BA305">
        <f t="shared" si="127"/>
        <v>-494.9747468305834</v>
      </c>
    </row>
    <row r="306" spans="9:53" x14ac:dyDescent="0.25">
      <c r="I306">
        <v>296</v>
      </c>
      <c r="J306">
        <f t="shared" si="130"/>
        <v>219.18557339453869</v>
      </c>
      <c r="K306">
        <f t="shared" si="131"/>
        <v>-449.3970231495835</v>
      </c>
      <c r="M306">
        <v>296</v>
      </c>
      <c r="N306">
        <f t="shared" si="132"/>
        <v>252.0634094037195</v>
      </c>
      <c r="O306">
        <f t="shared" si="133"/>
        <v>-516.806576622021</v>
      </c>
      <c r="Q306">
        <f t="shared" si="134"/>
        <v>-269.63821388975009</v>
      </c>
      <c r="R306">
        <f t="shared" si="135"/>
        <v>131.51134403672322</v>
      </c>
      <c r="S306">
        <f t="shared" si="128"/>
        <v>-417.63821388975009</v>
      </c>
      <c r="T306">
        <f t="shared" si="129"/>
        <v>131.51134403672322</v>
      </c>
      <c r="V306">
        <f t="shared" si="136"/>
        <v>-269.63821388975009</v>
      </c>
      <c r="W306">
        <f t="shared" si="137"/>
        <v>131.51134403672322</v>
      </c>
      <c r="X306">
        <f t="shared" si="138"/>
        <v>-417.63821388975009</v>
      </c>
      <c r="Y306">
        <f t="shared" si="139"/>
        <v>131.51134403672322</v>
      </c>
      <c r="AA306">
        <v>296</v>
      </c>
      <c r="AB306">
        <f t="shared" si="140"/>
        <v>197.26701605508484</v>
      </c>
      <c r="AC306">
        <f t="shared" si="141"/>
        <v>-404.45732083462519</v>
      </c>
      <c r="AD306">
        <v>296</v>
      </c>
      <c r="AE306">
        <f t="shared" si="142"/>
        <v>284.94124541290029</v>
      </c>
      <c r="AF306">
        <f t="shared" si="143"/>
        <v>-584.21613009445855</v>
      </c>
      <c r="AV306">
        <v>296</v>
      </c>
      <c r="AW306">
        <f t="shared" si="144"/>
        <v>306.8598027523542</v>
      </c>
      <c r="AX306">
        <f t="shared" si="145"/>
        <v>-629.15583240941692</v>
      </c>
      <c r="AZ306">
        <f t="shared" si="126"/>
        <v>494.97474683058317</v>
      </c>
      <c r="BA306">
        <f t="shared" si="127"/>
        <v>-494.9747468305834</v>
      </c>
    </row>
    <row r="307" spans="9:53" x14ac:dyDescent="0.25">
      <c r="I307">
        <v>297</v>
      </c>
      <c r="J307">
        <f t="shared" si="130"/>
        <v>226.99524986977332</v>
      </c>
      <c r="K307">
        <f t="shared" si="131"/>
        <v>-445.50326209418392</v>
      </c>
      <c r="M307">
        <v>297</v>
      </c>
      <c r="N307">
        <f t="shared" si="132"/>
        <v>261.0445373502393</v>
      </c>
      <c r="O307">
        <f t="shared" si="133"/>
        <v>-512.32875140831152</v>
      </c>
      <c r="Q307">
        <f t="shared" si="134"/>
        <v>-267.30195725651038</v>
      </c>
      <c r="R307">
        <f t="shared" si="135"/>
        <v>136.197149921864</v>
      </c>
      <c r="S307">
        <f t="shared" si="128"/>
        <v>-415.30195725651038</v>
      </c>
      <c r="T307">
        <f t="shared" si="129"/>
        <v>136.197149921864</v>
      </c>
      <c r="V307">
        <f t="shared" si="136"/>
        <v>-267.30195725651038</v>
      </c>
      <c r="W307">
        <f t="shared" si="137"/>
        <v>136.197149921864</v>
      </c>
      <c r="X307">
        <f t="shared" si="138"/>
        <v>-415.30195725651038</v>
      </c>
      <c r="Y307">
        <f t="shared" si="139"/>
        <v>136.197149921864</v>
      </c>
      <c r="AA307">
        <v>297</v>
      </c>
      <c r="AB307">
        <f t="shared" si="140"/>
        <v>204.29572488279598</v>
      </c>
      <c r="AC307">
        <f t="shared" si="141"/>
        <v>-400.95293588476557</v>
      </c>
      <c r="AD307">
        <v>297</v>
      </c>
      <c r="AE307">
        <f t="shared" si="142"/>
        <v>295.09382483070533</v>
      </c>
      <c r="AF307">
        <f t="shared" si="143"/>
        <v>-579.15424072243911</v>
      </c>
      <c r="AV307">
        <v>297</v>
      </c>
      <c r="AW307">
        <f t="shared" si="144"/>
        <v>317.79334981768267</v>
      </c>
      <c r="AX307">
        <f t="shared" si="145"/>
        <v>-623.70456693185758</v>
      </c>
      <c r="AZ307">
        <f t="shared" si="126"/>
        <v>494.97474683058317</v>
      </c>
      <c r="BA307">
        <f t="shared" si="127"/>
        <v>-494.9747468305834</v>
      </c>
    </row>
    <row r="308" spans="9:53" x14ac:dyDescent="0.25">
      <c r="I308">
        <v>298</v>
      </c>
      <c r="J308">
        <f t="shared" si="130"/>
        <v>234.7357813929452</v>
      </c>
      <c r="K308">
        <f t="shared" si="131"/>
        <v>-441.47379642946356</v>
      </c>
      <c r="M308">
        <v>298</v>
      </c>
      <c r="N308">
        <f t="shared" si="132"/>
        <v>269.94614860188699</v>
      </c>
      <c r="O308">
        <f t="shared" si="133"/>
        <v>-507.6948658938831</v>
      </c>
      <c r="Q308">
        <f t="shared" si="134"/>
        <v>-264.88427785767811</v>
      </c>
      <c r="R308">
        <f t="shared" si="135"/>
        <v>140.84146883576713</v>
      </c>
      <c r="S308">
        <f t="shared" si="128"/>
        <v>-412.88427785767811</v>
      </c>
      <c r="T308">
        <f t="shared" si="129"/>
        <v>140.84146883576713</v>
      </c>
      <c r="V308">
        <f t="shared" si="136"/>
        <v>-264.88427785767811</v>
      </c>
      <c r="W308">
        <f t="shared" si="137"/>
        <v>140.84146883576713</v>
      </c>
      <c r="X308">
        <f t="shared" si="138"/>
        <v>-412.88427785767811</v>
      </c>
      <c r="Y308">
        <f t="shared" si="139"/>
        <v>140.84146883576713</v>
      </c>
      <c r="AA308">
        <v>298</v>
      </c>
      <c r="AB308">
        <f t="shared" si="140"/>
        <v>211.26220325365068</v>
      </c>
      <c r="AC308">
        <f t="shared" si="141"/>
        <v>-397.3264167865172</v>
      </c>
      <c r="AD308">
        <v>298</v>
      </c>
      <c r="AE308">
        <f t="shared" si="142"/>
        <v>305.15651581082875</v>
      </c>
      <c r="AF308">
        <f t="shared" si="143"/>
        <v>-573.91593535830259</v>
      </c>
      <c r="AV308">
        <v>298</v>
      </c>
      <c r="AW308">
        <f t="shared" si="144"/>
        <v>328.6300939501233</v>
      </c>
      <c r="AX308">
        <f t="shared" si="145"/>
        <v>-618.06331500124895</v>
      </c>
      <c r="AZ308">
        <f t="shared" si="126"/>
        <v>494.97474683058317</v>
      </c>
      <c r="BA308">
        <f t="shared" si="127"/>
        <v>-494.9747468305834</v>
      </c>
    </row>
    <row r="309" spans="9:53" x14ac:dyDescent="0.25">
      <c r="I309">
        <v>299</v>
      </c>
      <c r="J309">
        <f t="shared" si="130"/>
        <v>242.40481012316826</v>
      </c>
      <c r="K309">
        <f t="shared" si="131"/>
        <v>-437.30985356969802</v>
      </c>
      <c r="M309">
        <v>299</v>
      </c>
      <c r="N309">
        <f t="shared" si="132"/>
        <v>278.76553164164346</v>
      </c>
      <c r="O309">
        <f t="shared" si="133"/>
        <v>-502.90633160515273</v>
      </c>
      <c r="Q309">
        <f t="shared" si="134"/>
        <v>-262.38591214181884</v>
      </c>
      <c r="R309">
        <f t="shared" si="135"/>
        <v>145.44288607390095</v>
      </c>
      <c r="S309">
        <f t="shared" si="128"/>
        <v>-410.38591214181884</v>
      </c>
      <c r="T309">
        <f t="shared" si="129"/>
        <v>145.44288607390095</v>
      </c>
      <c r="V309">
        <f t="shared" si="136"/>
        <v>-262.38591214181884</v>
      </c>
      <c r="W309">
        <f t="shared" si="137"/>
        <v>145.44288607390095</v>
      </c>
      <c r="X309">
        <f t="shared" si="138"/>
        <v>-410.38591214181884</v>
      </c>
      <c r="Y309">
        <f t="shared" si="139"/>
        <v>145.44288607390095</v>
      </c>
      <c r="AA309">
        <v>299</v>
      </c>
      <c r="AB309">
        <f t="shared" si="140"/>
        <v>218.16432911085144</v>
      </c>
      <c r="AC309">
        <f t="shared" si="141"/>
        <v>-393.57886821272825</v>
      </c>
      <c r="AD309">
        <v>299</v>
      </c>
      <c r="AE309">
        <f t="shared" si="142"/>
        <v>315.12625316011872</v>
      </c>
      <c r="AF309">
        <f t="shared" si="143"/>
        <v>-568.50280964060744</v>
      </c>
      <c r="AV309">
        <v>299</v>
      </c>
      <c r="AW309">
        <f t="shared" si="144"/>
        <v>339.36673417243554</v>
      </c>
      <c r="AX309">
        <f t="shared" si="145"/>
        <v>-612.23379499757721</v>
      </c>
      <c r="AZ309">
        <f t="shared" si="126"/>
        <v>494.97474683058317</v>
      </c>
      <c r="BA309">
        <f t="shared" si="127"/>
        <v>-494.9747468305834</v>
      </c>
    </row>
    <row r="310" spans="9:53" x14ac:dyDescent="0.25">
      <c r="I310">
        <v>300</v>
      </c>
      <c r="J310">
        <f t="shared" si="130"/>
        <v>250.00000000000006</v>
      </c>
      <c r="K310">
        <f t="shared" si="131"/>
        <v>-433.0127018922193</v>
      </c>
      <c r="M310">
        <v>300</v>
      </c>
      <c r="N310">
        <f t="shared" si="132"/>
        <v>287.50000000000006</v>
      </c>
      <c r="O310">
        <f t="shared" si="133"/>
        <v>-497.9646071760522</v>
      </c>
      <c r="Q310">
        <f t="shared" si="134"/>
        <v>-259.8076211353316</v>
      </c>
      <c r="R310">
        <f t="shared" si="135"/>
        <v>150.00000000000003</v>
      </c>
      <c r="S310">
        <f t="shared" si="128"/>
        <v>-407.8076211353316</v>
      </c>
      <c r="T310">
        <f t="shared" si="129"/>
        <v>150.00000000000003</v>
      </c>
      <c r="V310">
        <f t="shared" si="136"/>
        <v>-259.8076211353316</v>
      </c>
      <c r="W310">
        <f t="shared" si="137"/>
        <v>150.00000000000003</v>
      </c>
      <c r="X310">
        <f t="shared" si="138"/>
        <v>-407.8076211353316</v>
      </c>
      <c r="Y310">
        <f t="shared" si="139"/>
        <v>150.00000000000003</v>
      </c>
      <c r="AA310">
        <v>300</v>
      </c>
      <c r="AB310">
        <f t="shared" si="140"/>
        <v>225.00000000000006</v>
      </c>
      <c r="AC310">
        <f t="shared" si="141"/>
        <v>-389.71143170299734</v>
      </c>
      <c r="AD310">
        <v>300</v>
      </c>
      <c r="AE310">
        <f t="shared" si="142"/>
        <v>325.00000000000006</v>
      </c>
      <c r="AF310">
        <f t="shared" si="143"/>
        <v>-562.9165124598851</v>
      </c>
      <c r="AV310">
        <v>300</v>
      </c>
      <c r="AW310">
        <f t="shared" si="144"/>
        <v>350.00000000000006</v>
      </c>
      <c r="AX310">
        <f t="shared" si="145"/>
        <v>-606.21778264910699</v>
      </c>
      <c r="AZ310">
        <f t="shared" si="126"/>
        <v>494.97474683058317</v>
      </c>
      <c r="BA310">
        <f t="shared" si="127"/>
        <v>-494.9747468305834</v>
      </c>
    </row>
    <row r="311" spans="9:53" x14ac:dyDescent="0.25">
      <c r="I311">
        <v>301</v>
      </c>
      <c r="J311">
        <f t="shared" si="130"/>
        <v>257.5190374550271</v>
      </c>
      <c r="K311">
        <f t="shared" si="131"/>
        <v>-428.58365035105618</v>
      </c>
      <c r="M311">
        <v>301</v>
      </c>
      <c r="N311">
        <f t="shared" si="132"/>
        <v>296.14689307328115</v>
      </c>
      <c r="O311">
        <f t="shared" si="133"/>
        <v>-492.87119790371457</v>
      </c>
      <c r="Q311">
        <f t="shared" si="134"/>
        <v>-257.1501902106337</v>
      </c>
      <c r="R311">
        <f t="shared" si="135"/>
        <v>154.51142247301624</v>
      </c>
      <c r="S311">
        <f t="shared" si="128"/>
        <v>-405.1501902106337</v>
      </c>
      <c r="T311">
        <f t="shared" si="129"/>
        <v>154.51142247301624</v>
      </c>
      <c r="V311">
        <f t="shared" si="136"/>
        <v>-257.1501902106337</v>
      </c>
      <c r="W311">
        <f t="shared" si="137"/>
        <v>154.51142247301624</v>
      </c>
      <c r="X311">
        <f t="shared" si="138"/>
        <v>-405.1501902106337</v>
      </c>
      <c r="Y311">
        <f t="shared" si="139"/>
        <v>154.51142247301624</v>
      </c>
      <c r="AA311">
        <v>301</v>
      </c>
      <c r="AB311">
        <f t="shared" si="140"/>
        <v>231.76713370952436</v>
      </c>
      <c r="AC311">
        <f t="shared" si="141"/>
        <v>-385.72528531595054</v>
      </c>
      <c r="AD311">
        <v>301</v>
      </c>
      <c r="AE311">
        <f t="shared" si="142"/>
        <v>334.77474869153519</v>
      </c>
      <c r="AF311">
        <f t="shared" si="143"/>
        <v>-557.15874545637303</v>
      </c>
      <c r="AV311">
        <v>301</v>
      </c>
      <c r="AW311">
        <f t="shared" si="144"/>
        <v>360.52665243703791</v>
      </c>
      <c r="AX311">
        <f t="shared" si="145"/>
        <v>-600.01711049147866</v>
      </c>
      <c r="AZ311">
        <f t="shared" si="126"/>
        <v>494.97474683058317</v>
      </c>
      <c r="BA311">
        <f t="shared" si="127"/>
        <v>-494.9747468305834</v>
      </c>
    </row>
    <row r="312" spans="9:53" x14ac:dyDescent="0.25">
      <c r="I312">
        <v>302</v>
      </c>
      <c r="J312">
        <f t="shared" si="130"/>
        <v>264.95963211660234</v>
      </c>
      <c r="K312">
        <f t="shared" si="131"/>
        <v>-424.02404807821307</v>
      </c>
      <c r="M312">
        <v>302</v>
      </c>
      <c r="N312">
        <f t="shared" si="132"/>
        <v>304.70357693409267</v>
      </c>
      <c r="O312">
        <f t="shared" si="133"/>
        <v>-487.62765528994504</v>
      </c>
      <c r="Q312">
        <f t="shared" si="134"/>
        <v>-254.41442884692785</v>
      </c>
      <c r="R312">
        <f t="shared" si="135"/>
        <v>158.97577926996141</v>
      </c>
      <c r="S312">
        <f t="shared" si="128"/>
        <v>-402.41442884692788</v>
      </c>
      <c r="T312">
        <f t="shared" si="129"/>
        <v>158.97577926996141</v>
      </c>
      <c r="V312">
        <f t="shared" si="136"/>
        <v>-254.41442884692785</v>
      </c>
      <c r="W312">
        <f t="shared" si="137"/>
        <v>158.97577926996141</v>
      </c>
      <c r="X312">
        <f t="shared" si="138"/>
        <v>-402.41442884692788</v>
      </c>
      <c r="Y312">
        <f t="shared" si="139"/>
        <v>158.97577926996141</v>
      </c>
      <c r="AA312">
        <v>302</v>
      </c>
      <c r="AB312">
        <f t="shared" si="140"/>
        <v>238.4636689049421</v>
      </c>
      <c r="AC312">
        <f t="shared" si="141"/>
        <v>-381.62164327039176</v>
      </c>
      <c r="AD312">
        <v>302</v>
      </c>
      <c r="AE312">
        <f t="shared" si="142"/>
        <v>344.44752175158305</v>
      </c>
      <c r="AF312">
        <f t="shared" si="143"/>
        <v>-551.23126250167707</v>
      </c>
      <c r="AV312">
        <v>302</v>
      </c>
      <c r="AW312">
        <f t="shared" si="144"/>
        <v>370.94348496324329</v>
      </c>
      <c r="AX312">
        <f t="shared" si="145"/>
        <v>-593.63366730949838</v>
      </c>
      <c r="AZ312">
        <f t="shared" si="126"/>
        <v>494.97474683058317</v>
      </c>
      <c r="BA312">
        <f t="shared" si="127"/>
        <v>-494.9747468305834</v>
      </c>
    </row>
    <row r="313" spans="9:53" x14ac:dyDescent="0.25">
      <c r="I313">
        <v>303</v>
      </c>
      <c r="J313">
        <f t="shared" si="130"/>
        <v>272.3195175075133</v>
      </c>
      <c r="K313">
        <f t="shared" si="131"/>
        <v>-419.33528397271215</v>
      </c>
      <c r="M313">
        <v>303</v>
      </c>
      <c r="N313">
        <f t="shared" si="132"/>
        <v>313.16744513364034</v>
      </c>
      <c r="O313">
        <f t="shared" si="133"/>
        <v>-482.23557656861897</v>
      </c>
      <c r="Q313">
        <f t="shared" si="134"/>
        <v>-251.60117038362728</v>
      </c>
      <c r="R313">
        <f t="shared" si="135"/>
        <v>163.39171050450798</v>
      </c>
      <c r="S313">
        <f t="shared" si="128"/>
        <v>-399.60117038362728</v>
      </c>
      <c r="T313">
        <f t="shared" si="129"/>
        <v>163.39171050450798</v>
      </c>
      <c r="V313">
        <f t="shared" si="136"/>
        <v>-251.60117038362728</v>
      </c>
      <c r="W313">
        <f t="shared" si="137"/>
        <v>163.39171050450798</v>
      </c>
      <c r="X313">
        <f t="shared" si="138"/>
        <v>-399.60117038362728</v>
      </c>
      <c r="Y313">
        <f t="shared" si="139"/>
        <v>163.39171050450798</v>
      </c>
      <c r="AA313">
        <v>303</v>
      </c>
      <c r="AB313">
        <f t="shared" si="140"/>
        <v>245.08756575676199</v>
      </c>
      <c r="AC313">
        <f t="shared" si="141"/>
        <v>-377.40175557544092</v>
      </c>
      <c r="AD313">
        <v>303</v>
      </c>
      <c r="AE313">
        <f t="shared" si="142"/>
        <v>354.01537275976733</v>
      </c>
      <c r="AF313">
        <f t="shared" si="143"/>
        <v>-545.13586916452573</v>
      </c>
      <c r="AV313">
        <v>303</v>
      </c>
      <c r="AW313">
        <f t="shared" si="144"/>
        <v>381.24732451051864</v>
      </c>
      <c r="AX313">
        <f t="shared" si="145"/>
        <v>-587.06939756179702</v>
      </c>
      <c r="AZ313">
        <f t="shared" si="126"/>
        <v>494.97474683058317</v>
      </c>
      <c r="BA313">
        <f t="shared" si="127"/>
        <v>-494.9747468305834</v>
      </c>
    </row>
    <row r="314" spans="9:53" x14ac:dyDescent="0.25">
      <c r="I314">
        <v>304</v>
      </c>
      <c r="J314">
        <f t="shared" si="130"/>
        <v>279.59645173537314</v>
      </c>
      <c r="K314">
        <f t="shared" si="131"/>
        <v>-414.51878627752103</v>
      </c>
      <c r="M314">
        <v>304</v>
      </c>
      <c r="N314">
        <f t="shared" si="132"/>
        <v>321.53591949567908</v>
      </c>
      <c r="O314">
        <f t="shared" si="133"/>
        <v>-476.69660421914921</v>
      </c>
      <c r="Q314">
        <f t="shared" si="134"/>
        <v>-248.71127176651262</v>
      </c>
      <c r="R314">
        <f t="shared" si="135"/>
        <v>167.75787104122386</v>
      </c>
      <c r="S314">
        <f t="shared" si="128"/>
        <v>-396.7112717665126</v>
      </c>
      <c r="T314">
        <f t="shared" si="129"/>
        <v>167.75787104122386</v>
      </c>
      <c r="V314">
        <f t="shared" si="136"/>
        <v>-248.71127176651262</v>
      </c>
      <c r="W314">
        <f t="shared" si="137"/>
        <v>167.75787104122386</v>
      </c>
      <c r="X314">
        <f t="shared" si="138"/>
        <v>-396.7112717665126</v>
      </c>
      <c r="Y314">
        <f t="shared" si="139"/>
        <v>167.75787104122386</v>
      </c>
      <c r="AA314">
        <v>304</v>
      </c>
      <c r="AB314">
        <f t="shared" si="140"/>
        <v>251.63680656183581</v>
      </c>
      <c r="AC314">
        <f t="shared" si="141"/>
        <v>-373.06690764976895</v>
      </c>
      <c r="AD314">
        <v>304</v>
      </c>
      <c r="AE314">
        <f t="shared" si="142"/>
        <v>363.47538725598508</v>
      </c>
      <c r="AF314">
        <f t="shared" si="143"/>
        <v>-538.87442216077739</v>
      </c>
      <c r="AV314">
        <v>304</v>
      </c>
      <c r="AW314">
        <f t="shared" si="144"/>
        <v>391.43503242952238</v>
      </c>
      <c r="AX314">
        <f t="shared" si="145"/>
        <v>-580.32630078852947</v>
      </c>
      <c r="AZ314">
        <f t="shared" si="126"/>
        <v>494.97474683058317</v>
      </c>
      <c r="BA314">
        <f t="shared" si="127"/>
        <v>-494.9747468305834</v>
      </c>
    </row>
    <row r="315" spans="9:53" x14ac:dyDescent="0.25">
      <c r="I315">
        <v>305</v>
      </c>
      <c r="J315">
        <f t="shared" si="130"/>
        <v>286.78821817552301</v>
      </c>
      <c r="K315">
        <f t="shared" si="131"/>
        <v>-409.57602214449588</v>
      </c>
      <c r="M315">
        <v>305</v>
      </c>
      <c r="N315">
        <f t="shared" si="132"/>
        <v>329.80645090185146</v>
      </c>
      <c r="O315">
        <f t="shared" si="133"/>
        <v>-471.01242546617027</v>
      </c>
      <c r="Q315">
        <f t="shared" si="134"/>
        <v>-245.74561328669753</v>
      </c>
      <c r="R315">
        <f t="shared" si="135"/>
        <v>172.07293090531383</v>
      </c>
      <c r="S315">
        <f t="shared" si="128"/>
        <v>-393.74561328669756</v>
      </c>
      <c r="T315">
        <f t="shared" si="129"/>
        <v>172.07293090531383</v>
      </c>
      <c r="V315">
        <f t="shared" si="136"/>
        <v>-245.74561328669753</v>
      </c>
      <c r="W315">
        <f t="shared" si="137"/>
        <v>172.07293090531383</v>
      </c>
      <c r="X315">
        <f t="shared" si="138"/>
        <v>-393.74561328669756</v>
      </c>
      <c r="Y315">
        <f t="shared" si="139"/>
        <v>172.07293090531383</v>
      </c>
      <c r="AA315">
        <v>305</v>
      </c>
      <c r="AB315">
        <f t="shared" si="140"/>
        <v>258.1093963579707</v>
      </c>
      <c r="AC315">
        <f t="shared" si="141"/>
        <v>-368.61841993004629</v>
      </c>
      <c r="AD315">
        <v>305</v>
      </c>
      <c r="AE315">
        <f t="shared" si="142"/>
        <v>372.82468362817991</v>
      </c>
      <c r="AF315">
        <f t="shared" si="143"/>
        <v>-532.44882878784472</v>
      </c>
      <c r="AV315">
        <v>305</v>
      </c>
      <c r="AW315">
        <f t="shared" si="144"/>
        <v>401.50350544573223</v>
      </c>
      <c r="AX315">
        <f t="shared" si="145"/>
        <v>-573.40643100229431</v>
      </c>
      <c r="AZ315">
        <f t="shared" si="126"/>
        <v>494.97474683058317</v>
      </c>
      <c r="BA315">
        <f t="shared" si="127"/>
        <v>-494.9747468305834</v>
      </c>
    </row>
    <row r="316" spans="9:53" x14ac:dyDescent="0.25">
      <c r="I316">
        <v>306</v>
      </c>
      <c r="J316">
        <f t="shared" si="130"/>
        <v>293.89262614623647</v>
      </c>
      <c r="K316">
        <f t="shared" si="131"/>
        <v>-404.50849718747378</v>
      </c>
      <c r="M316">
        <v>306</v>
      </c>
      <c r="N316">
        <f t="shared" si="132"/>
        <v>337.97652006817191</v>
      </c>
      <c r="O316">
        <f t="shared" si="133"/>
        <v>-465.18477176559486</v>
      </c>
      <c r="Q316">
        <f t="shared" si="134"/>
        <v>-242.70509831248427</v>
      </c>
      <c r="R316">
        <f t="shared" si="135"/>
        <v>176.33557568774188</v>
      </c>
      <c r="S316">
        <f t="shared" si="128"/>
        <v>-390.70509831248427</v>
      </c>
      <c r="T316">
        <f t="shared" si="129"/>
        <v>176.33557568774188</v>
      </c>
      <c r="V316">
        <f t="shared" si="136"/>
        <v>-242.70509831248427</v>
      </c>
      <c r="W316">
        <f t="shared" si="137"/>
        <v>176.33557568774188</v>
      </c>
      <c r="X316">
        <f t="shared" si="138"/>
        <v>-390.70509831248427</v>
      </c>
      <c r="Y316">
        <f t="shared" si="139"/>
        <v>176.33557568774188</v>
      </c>
      <c r="AA316">
        <v>306</v>
      </c>
      <c r="AB316">
        <f t="shared" si="140"/>
        <v>264.50336353161282</v>
      </c>
      <c r="AC316">
        <f t="shared" si="141"/>
        <v>-364.05764746872643</v>
      </c>
      <c r="AD316">
        <v>306</v>
      </c>
      <c r="AE316">
        <f t="shared" si="142"/>
        <v>382.06041399010741</v>
      </c>
      <c r="AF316">
        <f t="shared" si="143"/>
        <v>-525.86104634371588</v>
      </c>
      <c r="AV316">
        <v>306</v>
      </c>
      <c r="AW316">
        <f t="shared" si="144"/>
        <v>411.44967660473105</v>
      </c>
      <c r="AX316">
        <f t="shared" si="145"/>
        <v>-566.31189606246335</v>
      </c>
      <c r="AZ316">
        <f t="shared" si="126"/>
        <v>494.97474683058317</v>
      </c>
      <c r="BA316">
        <f t="shared" si="127"/>
        <v>-494.9747468305834</v>
      </c>
    </row>
    <row r="317" spans="9:53" x14ac:dyDescent="0.25">
      <c r="I317">
        <v>307</v>
      </c>
      <c r="J317">
        <f t="shared" si="130"/>
        <v>300.90751157602398</v>
      </c>
      <c r="K317">
        <f t="shared" si="131"/>
        <v>-399.3177550236465</v>
      </c>
      <c r="M317">
        <v>307</v>
      </c>
      <c r="N317">
        <f t="shared" si="132"/>
        <v>346.04363831242756</v>
      </c>
      <c r="O317">
        <f t="shared" si="133"/>
        <v>-459.21541827719352</v>
      </c>
      <c r="Q317">
        <f t="shared" si="134"/>
        <v>-239.59065301418792</v>
      </c>
      <c r="R317">
        <f t="shared" si="135"/>
        <v>180.54450694561439</v>
      </c>
      <c r="S317">
        <f t="shared" si="128"/>
        <v>-387.59065301418792</v>
      </c>
      <c r="T317">
        <f t="shared" si="129"/>
        <v>180.54450694561439</v>
      </c>
      <c r="V317">
        <f t="shared" si="136"/>
        <v>-239.59065301418792</v>
      </c>
      <c r="W317">
        <f t="shared" si="137"/>
        <v>180.54450694561439</v>
      </c>
      <c r="X317">
        <f t="shared" si="138"/>
        <v>-387.59065301418792</v>
      </c>
      <c r="Y317">
        <f t="shared" si="139"/>
        <v>180.54450694561439</v>
      </c>
      <c r="AA317">
        <v>307</v>
      </c>
      <c r="AB317">
        <f t="shared" si="140"/>
        <v>270.81676041842155</v>
      </c>
      <c r="AC317">
        <f t="shared" si="141"/>
        <v>-359.38597952128185</v>
      </c>
      <c r="AD317">
        <v>307</v>
      </c>
      <c r="AE317">
        <f t="shared" si="142"/>
        <v>391.17976504883114</v>
      </c>
      <c r="AF317">
        <f t="shared" si="143"/>
        <v>-519.11308153074049</v>
      </c>
      <c r="AV317">
        <v>307</v>
      </c>
      <c r="AW317">
        <f t="shared" si="144"/>
        <v>421.27051620643357</v>
      </c>
      <c r="AX317">
        <f t="shared" si="145"/>
        <v>-559.04485703310513</v>
      </c>
      <c r="AZ317">
        <f t="shared" si="126"/>
        <v>494.97474683058317</v>
      </c>
      <c r="BA317">
        <f t="shared" si="127"/>
        <v>-494.9747468305834</v>
      </c>
    </row>
    <row r="318" spans="9:53" x14ac:dyDescent="0.25">
      <c r="I318">
        <v>308</v>
      </c>
      <c r="J318">
        <f t="shared" si="130"/>
        <v>307.83073766282928</v>
      </c>
      <c r="K318">
        <f t="shared" si="131"/>
        <v>-394.00537680336089</v>
      </c>
      <c r="M318">
        <v>308</v>
      </c>
      <c r="N318">
        <f t="shared" si="132"/>
        <v>354.00534831225366</v>
      </c>
      <c r="O318">
        <f t="shared" si="133"/>
        <v>-453.10618332386503</v>
      </c>
      <c r="Q318">
        <f t="shared" si="134"/>
        <v>-236.40322608201654</v>
      </c>
      <c r="R318">
        <f t="shared" si="135"/>
        <v>184.69844259769755</v>
      </c>
      <c r="S318">
        <f t="shared" si="128"/>
        <v>-384.40322608201654</v>
      </c>
      <c r="T318">
        <f t="shared" si="129"/>
        <v>184.69844259769755</v>
      </c>
      <c r="V318">
        <f t="shared" si="136"/>
        <v>-236.40322608201654</v>
      </c>
      <c r="W318">
        <f t="shared" si="137"/>
        <v>184.69844259769755</v>
      </c>
      <c r="X318">
        <f t="shared" si="138"/>
        <v>-384.40322608201654</v>
      </c>
      <c r="Y318">
        <f t="shared" si="139"/>
        <v>184.69844259769755</v>
      </c>
      <c r="AA318">
        <v>308</v>
      </c>
      <c r="AB318">
        <f t="shared" si="140"/>
        <v>277.04766389654634</v>
      </c>
      <c r="AC318">
        <f t="shared" si="141"/>
        <v>-354.60483912302482</v>
      </c>
      <c r="AD318">
        <v>308</v>
      </c>
      <c r="AE318">
        <f t="shared" si="142"/>
        <v>400.17995896167804</v>
      </c>
      <c r="AF318">
        <f t="shared" si="143"/>
        <v>-512.20698984436922</v>
      </c>
      <c r="AV318">
        <v>308</v>
      </c>
      <c r="AW318">
        <f t="shared" si="144"/>
        <v>430.96303272796098</v>
      </c>
      <c r="AX318">
        <f t="shared" si="145"/>
        <v>-551.60752752470523</v>
      </c>
      <c r="AZ318">
        <f t="shared" si="126"/>
        <v>494.97474683058317</v>
      </c>
      <c r="BA318">
        <f t="shared" si="127"/>
        <v>-494.9747468305834</v>
      </c>
    </row>
    <row r="319" spans="9:53" x14ac:dyDescent="0.25">
      <c r="I319">
        <v>309</v>
      </c>
      <c r="J319">
        <f t="shared" si="130"/>
        <v>314.66019552491878</v>
      </c>
      <c r="K319">
        <f t="shared" si="131"/>
        <v>-388.57298072848539</v>
      </c>
      <c r="M319">
        <v>309</v>
      </c>
      <c r="N319">
        <f t="shared" si="132"/>
        <v>361.85922485365654</v>
      </c>
      <c r="O319">
        <f t="shared" si="133"/>
        <v>-446.85892783775819</v>
      </c>
      <c r="Q319">
        <f t="shared" si="134"/>
        <v>-233.14378843709125</v>
      </c>
      <c r="R319">
        <f t="shared" si="135"/>
        <v>188.79611731495126</v>
      </c>
      <c r="S319">
        <f t="shared" si="128"/>
        <v>-381.14378843709125</v>
      </c>
      <c r="T319">
        <f t="shared" si="129"/>
        <v>188.79611731495126</v>
      </c>
      <c r="V319">
        <f t="shared" si="136"/>
        <v>-233.14378843709125</v>
      </c>
      <c r="W319">
        <f t="shared" si="137"/>
        <v>188.79611731495126</v>
      </c>
      <c r="X319">
        <f t="shared" si="138"/>
        <v>-381.14378843709125</v>
      </c>
      <c r="Y319">
        <f t="shared" si="139"/>
        <v>188.79611731495126</v>
      </c>
      <c r="AA319">
        <v>309</v>
      </c>
      <c r="AB319">
        <f t="shared" si="140"/>
        <v>283.19417597242688</v>
      </c>
      <c r="AC319">
        <f t="shared" si="141"/>
        <v>-349.71568265563684</v>
      </c>
      <c r="AD319">
        <v>309</v>
      </c>
      <c r="AE319">
        <f t="shared" si="142"/>
        <v>409.05825418239436</v>
      </c>
      <c r="AF319">
        <f t="shared" si="143"/>
        <v>-505.14487494703104</v>
      </c>
      <c r="AV319">
        <v>309</v>
      </c>
      <c r="AW319">
        <f t="shared" si="144"/>
        <v>440.52427373488626</v>
      </c>
      <c r="AX319">
        <f t="shared" si="145"/>
        <v>-544.00217301987959</v>
      </c>
      <c r="AZ319">
        <f t="shared" ref="AZ319:AZ369" si="146">IF(AV319&gt;$BF$7,AW319,VLOOKUP($BF$7,$AV$11:$AX$370,2,0))</f>
        <v>494.97474683058317</v>
      </c>
      <c r="BA319">
        <f t="shared" si="127"/>
        <v>-494.9747468305834</v>
      </c>
    </row>
    <row r="320" spans="9:53" x14ac:dyDescent="0.25">
      <c r="I320">
        <v>310</v>
      </c>
      <c r="J320">
        <f t="shared" si="130"/>
        <v>321.39380484326961</v>
      </c>
      <c r="K320">
        <f t="shared" si="131"/>
        <v>-383.02222155948908</v>
      </c>
      <c r="M320">
        <v>310</v>
      </c>
      <c r="N320">
        <f t="shared" si="132"/>
        <v>369.60287556976004</v>
      </c>
      <c r="O320">
        <f t="shared" si="133"/>
        <v>-440.47555479341241</v>
      </c>
      <c r="Q320">
        <f t="shared" si="134"/>
        <v>-229.81333293569344</v>
      </c>
      <c r="R320">
        <f t="shared" si="135"/>
        <v>192.83628290596178</v>
      </c>
      <c r="S320">
        <f t="shared" si="128"/>
        <v>-377.81333293569344</v>
      </c>
      <c r="T320">
        <f t="shared" si="129"/>
        <v>192.83628290596178</v>
      </c>
      <c r="V320">
        <f t="shared" si="136"/>
        <v>-229.81333293569344</v>
      </c>
      <c r="W320">
        <f t="shared" si="137"/>
        <v>192.83628290596178</v>
      </c>
      <c r="X320">
        <f t="shared" si="138"/>
        <v>-377.81333293569344</v>
      </c>
      <c r="Y320">
        <f t="shared" si="139"/>
        <v>192.83628290596178</v>
      </c>
      <c r="AA320">
        <v>310</v>
      </c>
      <c r="AB320">
        <f t="shared" si="140"/>
        <v>289.25442435894269</v>
      </c>
      <c r="AC320">
        <f t="shared" si="141"/>
        <v>-344.71999940354016</v>
      </c>
      <c r="AD320">
        <v>310</v>
      </c>
      <c r="AE320">
        <f t="shared" si="142"/>
        <v>417.81194629625054</v>
      </c>
      <c r="AF320">
        <f t="shared" si="143"/>
        <v>-497.9288880273358</v>
      </c>
      <c r="AV320">
        <v>310</v>
      </c>
      <c r="AW320">
        <f t="shared" si="144"/>
        <v>449.95132678057746</v>
      </c>
      <c r="AX320">
        <f t="shared" si="145"/>
        <v>-536.23111018328473</v>
      </c>
      <c r="AZ320">
        <f t="shared" si="146"/>
        <v>494.97474683058317</v>
      </c>
      <c r="BA320">
        <f t="shared" ref="BA320:BA369" si="147">IF(AV320&gt;$BF$7,AX320,VLOOKUP($BF$7,$AV$11:$AX$370,3,0))</f>
        <v>-494.9747468305834</v>
      </c>
    </row>
    <row r="321" spans="9:53" x14ac:dyDescent="0.25">
      <c r="I321">
        <v>311</v>
      </c>
      <c r="J321">
        <f t="shared" si="130"/>
        <v>328.02951449525352</v>
      </c>
      <c r="K321">
        <f t="shared" si="131"/>
        <v>-377.35479011138614</v>
      </c>
      <c r="M321">
        <v>311</v>
      </c>
      <c r="N321">
        <f t="shared" si="132"/>
        <v>377.23394166954154</v>
      </c>
      <c r="O321">
        <f t="shared" si="133"/>
        <v>-433.95800862809403</v>
      </c>
      <c r="Q321">
        <f t="shared" si="134"/>
        <v>-226.41287406683168</v>
      </c>
      <c r="R321">
        <f t="shared" si="135"/>
        <v>196.81770869715211</v>
      </c>
      <c r="S321">
        <f t="shared" si="128"/>
        <v>-374.41287406683171</v>
      </c>
      <c r="T321">
        <f t="shared" si="129"/>
        <v>196.81770869715211</v>
      </c>
      <c r="V321">
        <f t="shared" si="136"/>
        <v>-226.41287406683168</v>
      </c>
      <c r="W321">
        <f t="shared" si="137"/>
        <v>196.81770869715211</v>
      </c>
      <c r="X321">
        <f t="shared" si="138"/>
        <v>-374.41287406683171</v>
      </c>
      <c r="Y321">
        <f t="shared" si="139"/>
        <v>196.81770869715211</v>
      </c>
      <c r="AA321">
        <v>311</v>
      </c>
      <c r="AB321">
        <f t="shared" si="140"/>
        <v>295.2265630457282</v>
      </c>
      <c r="AC321">
        <f t="shared" si="141"/>
        <v>-339.6193111002475</v>
      </c>
      <c r="AD321">
        <v>311</v>
      </c>
      <c r="AE321">
        <f t="shared" si="142"/>
        <v>426.43836884382961</v>
      </c>
      <c r="AF321">
        <f t="shared" si="143"/>
        <v>-490.56122714480193</v>
      </c>
      <c r="AV321">
        <v>311</v>
      </c>
      <c r="AW321">
        <f t="shared" si="144"/>
        <v>459.24132029335493</v>
      </c>
      <c r="AX321">
        <f t="shared" si="145"/>
        <v>-528.29670615594057</v>
      </c>
      <c r="AZ321">
        <f t="shared" si="146"/>
        <v>494.97474683058317</v>
      </c>
      <c r="BA321">
        <f t="shared" si="147"/>
        <v>-494.9747468305834</v>
      </c>
    </row>
    <row r="322" spans="9:53" x14ac:dyDescent="0.25">
      <c r="I322">
        <v>312</v>
      </c>
      <c r="J322">
        <f t="shared" si="130"/>
        <v>334.56530317942889</v>
      </c>
      <c r="K322">
        <f t="shared" si="131"/>
        <v>-371.57241273869727</v>
      </c>
      <c r="M322">
        <v>312</v>
      </c>
      <c r="N322">
        <f t="shared" si="132"/>
        <v>384.75009865634325</v>
      </c>
      <c r="O322">
        <f t="shared" si="133"/>
        <v>-427.30827464950187</v>
      </c>
      <c r="Q322">
        <f t="shared" si="134"/>
        <v>-222.94344764321838</v>
      </c>
      <c r="R322">
        <f t="shared" si="135"/>
        <v>200.73918190765733</v>
      </c>
      <c r="S322">
        <f t="shared" si="128"/>
        <v>-370.94344764321841</v>
      </c>
      <c r="T322">
        <f t="shared" si="129"/>
        <v>200.73918190765733</v>
      </c>
      <c r="V322">
        <f t="shared" si="136"/>
        <v>-222.94344764321838</v>
      </c>
      <c r="W322">
        <f t="shared" si="137"/>
        <v>200.73918190765733</v>
      </c>
      <c r="X322">
        <f t="shared" si="138"/>
        <v>-370.94344764321841</v>
      </c>
      <c r="Y322">
        <f t="shared" si="139"/>
        <v>200.73918190765733</v>
      </c>
      <c r="AA322">
        <v>312</v>
      </c>
      <c r="AB322">
        <f t="shared" si="140"/>
        <v>301.10877286148599</v>
      </c>
      <c r="AC322">
        <f t="shared" si="141"/>
        <v>-334.41517146482755</v>
      </c>
      <c r="AD322">
        <v>312</v>
      </c>
      <c r="AE322">
        <f t="shared" si="142"/>
        <v>434.93489413325756</v>
      </c>
      <c r="AF322">
        <f t="shared" si="143"/>
        <v>-483.04413656030647</v>
      </c>
      <c r="AV322">
        <v>312</v>
      </c>
      <c r="AW322">
        <f t="shared" si="144"/>
        <v>468.39142445120046</v>
      </c>
      <c r="AX322">
        <f t="shared" si="145"/>
        <v>-520.20137783417624</v>
      </c>
      <c r="AZ322">
        <f t="shared" si="146"/>
        <v>494.97474683058317</v>
      </c>
      <c r="BA322">
        <f t="shared" si="147"/>
        <v>-494.9747468305834</v>
      </c>
    </row>
    <row r="323" spans="9:53" x14ac:dyDescent="0.25">
      <c r="I323">
        <v>313</v>
      </c>
      <c r="J323">
        <f t="shared" si="130"/>
        <v>340.99918003124901</v>
      </c>
      <c r="K323">
        <f t="shared" si="131"/>
        <v>-365.67685080958552</v>
      </c>
      <c r="M323">
        <v>313</v>
      </c>
      <c r="N323">
        <f t="shared" si="132"/>
        <v>392.14905703593638</v>
      </c>
      <c r="O323">
        <f t="shared" si="133"/>
        <v>-420.52837843102333</v>
      </c>
      <c r="Q323">
        <f t="shared" si="134"/>
        <v>-219.4061104857513</v>
      </c>
      <c r="R323">
        <f t="shared" si="135"/>
        <v>204.59950801874942</v>
      </c>
      <c r="S323">
        <f t="shared" si="128"/>
        <v>-367.4061104857513</v>
      </c>
      <c r="T323">
        <f t="shared" si="129"/>
        <v>204.59950801874942</v>
      </c>
      <c r="V323">
        <f t="shared" si="136"/>
        <v>-219.4061104857513</v>
      </c>
      <c r="W323">
        <f t="shared" si="137"/>
        <v>204.59950801874942</v>
      </c>
      <c r="X323">
        <f t="shared" si="138"/>
        <v>-367.4061104857513</v>
      </c>
      <c r="Y323">
        <f t="shared" si="139"/>
        <v>204.59950801874942</v>
      </c>
      <c r="AA323">
        <v>313</v>
      </c>
      <c r="AB323">
        <f t="shared" si="140"/>
        <v>306.8992620281241</v>
      </c>
      <c r="AC323">
        <f t="shared" si="141"/>
        <v>-329.10916572862698</v>
      </c>
      <c r="AD323">
        <v>313</v>
      </c>
      <c r="AE323">
        <f t="shared" si="142"/>
        <v>443.29893404062375</v>
      </c>
      <c r="AF323">
        <f t="shared" si="143"/>
        <v>-475.37990605246114</v>
      </c>
      <c r="AV323">
        <v>313</v>
      </c>
      <c r="AW323">
        <f t="shared" si="144"/>
        <v>477.3988520437486</v>
      </c>
      <c r="AX323">
        <f t="shared" si="145"/>
        <v>-511.94759113341973</v>
      </c>
      <c r="AZ323">
        <f t="shared" si="146"/>
        <v>494.97474683058317</v>
      </c>
      <c r="BA323">
        <f t="shared" si="147"/>
        <v>-494.9747468305834</v>
      </c>
    </row>
    <row r="324" spans="9:53" x14ac:dyDescent="0.25">
      <c r="I324">
        <v>314</v>
      </c>
      <c r="J324">
        <f t="shared" si="130"/>
        <v>347.32918522949831</v>
      </c>
      <c r="K324">
        <f t="shared" si="131"/>
        <v>-359.6699001693259</v>
      </c>
      <c r="M324">
        <v>314</v>
      </c>
      <c r="N324">
        <f t="shared" si="132"/>
        <v>399.42856301392305</v>
      </c>
      <c r="O324">
        <f t="shared" si="133"/>
        <v>-413.62038519472475</v>
      </c>
      <c r="Q324">
        <f t="shared" si="134"/>
        <v>-215.80194010159553</v>
      </c>
      <c r="R324">
        <f t="shared" si="135"/>
        <v>208.39751113769898</v>
      </c>
      <c r="S324">
        <f t="shared" si="128"/>
        <v>-363.80194010159551</v>
      </c>
      <c r="T324">
        <f t="shared" si="129"/>
        <v>208.39751113769898</v>
      </c>
      <c r="V324">
        <f t="shared" si="136"/>
        <v>-215.80194010159553</v>
      </c>
      <c r="W324">
        <f t="shared" si="137"/>
        <v>208.39751113769898</v>
      </c>
      <c r="X324">
        <f t="shared" si="138"/>
        <v>-363.80194010159551</v>
      </c>
      <c r="Y324">
        <f t="shared" si="139"/>
        <v>208.39751113769898</v>
      </c>
      <c r="AA324">
        <v>314</v>
      </c>
      <c r="AB324">
        <f t="shared" si="140"/>
        <v>312.59626670654848</v>
      </c>
      <c r="AC324">
        <f t="shared" si="141"/>
        <v>-323.70291015239326</v>
      </c>
      <c r="AD324">
        <v>314</v>
      </c>
      <c r="AE324">
        <f t="shared" si="142"/>
        <v>451.5279407983478</v>
      </c>
      <c r="AF324">
        <f t="shared" si="143"/>
        <v>-467.57087022012365</v>
      </c>
      <c r="AV324">
        <v>314</v>
      </c>
      <c r="AW324">
        <f t="shared" si="144"/>
        <v>486.26085932129763</v>
      </c>
      <c r="AX324">
        <f t="shared" si="145"/>
        <v>-503.53786023705624</v>
      </c>
      <c r="AZ324">
        <f t="shared" si="146"/>
        <v>494.97474683058317</v>
      </c>
      <c r="BA324">
        <f t="shared" si="147"/>
        <v>-494.9747468305834</v>
      </c>
    </row>
    <row r="325" spans="9:53" x14ac:dyDescent="0.25">
      <c r="I325">
        <v>315</v>
      </c>
      <c r="J325">
        <f t="shared" si="130"/>
        <v>353.55339059327366</v>
      </c>
      <c r="K325">
        <f t="shared" si="131"/>
        <v>-353.55339059327383</v>
      </c>
      <c r="M325">
        <v>315</v>
      </c>
      <c r="N325">
        <f t="shared" si="132"/>
        <v>406.5863991822647</v>
      </c>
      <c r="O325">
        <f t="shared" si="133"/>
        <v>-406.58639918226493</v>
      </c>
      <c r="Q325">
        <f t="shared" si="134"/>
        <v>-212.13203435596429</v>
      </c>
      <c r="R325">
        <f t="shared" si="135"/>
        <v>212.13203435596421</v>
      </c>
      <c r="S325">
        <f t="shared" si="128"/>
        <v>-360.13203435596427</v>
      </c>
      <c r="T325">
        <f t="shared" si="129"/>
        <v>212.13203435596421</v>
      </c>
      <c r="V325">
        <f t="shared" si="136"/>
        <v>-212.13203435596429</v>
      </c>
      <c r="W325">
        <f t="shared" si="137"/>
        <v>212.13203435596421</v>
      </c>
      <c r="X325">
        <f t="shared" si="138"/>
        <v>-360.13203435596427</v>
      </c>
      <c r="Y325">
        <f t="shared" si="139"/>
        <v>212.13203435596421</v>
      </c>
      <c r="AA325">
        <v>315</v>
      </c>
      <c r="AB325">
        <f t="shared" si="140"/>
        <v>318.19805153394628</v>
      </c>
      <c r="AC325">
        <f t="shared" si="141"/>
        <v>-318.19805153394645</v>
      </c>
      <c r="AD325">
        <v>315</v>
      </c>
      <c r="AE325">
        <f t="shared" si="142"/>
        <v>459.61940777125579</v>
      </c>
      <c r="AF325">
        <f t="shared" si="143"/>
        <v>-459.61940777125602</v>
      </c>
      <c r="AV325">
        <v>315</v>
      </c>
      <c r="AW325">
        <f t="shared" si="144"/>
        <v>494.97474683058317</v>
      </c>
      <c r="AX325">
        <f t="shared" si="145"/>
        <v>-494.9747468305834</v>
      </c>
      <c r="AZ325">
        <f t="shared" si="146"/>
        <v>494.97474683058317</v>
      </c>
      <c r="BA325">
        <f t="shared" si="147"/>
        <v>-494.9747468305834</v>
      </c>
    </row>
    <row r="326" spans="9:53" x14ac:dyDescent="0.25">
      <c r="I326">
        <v>316</v>
      </c>
      <c r="J326">
        <f t="shared" si="130"/>
        <v>359.66990016932544</v>
      </c>
      <c r="K326">
        <f t="shared" si="131"/>
        <v>-347.32918522949882</v>
      </c>
      <c r="M326">
        <v>316</v>
      </c>
      <c r="N326">
        <f t="shared" si="132"/>
        <v>413.62038519472424</v>
      </c>
      <c r="O326">
        <f t="shared" si="133"/>
        <v>-399.42856301392362</v>
      </c>
      <c r="Q326">
        <f t="shared" si="134"/>
        <v>-208.39751113769927</v>
      </c>
      <c r="R326">
        <f t="shared" si="135"/>
        <v>215.80194010159525</v>
      </c>
      <c r="S326">
        <f t="shared" si="128"/>
        <v>-356.39751113769927</v>
      </c>
      <c r="T326">
        <f t="shared" si="129"/>
        <v>215.80194010159525</v>
      </c>
      <c r="V326">
        <f t="shared" si="136"/>
        <v>-208.39751113769927</v>
      </c>
      <c r="W326">
        <f t="shared" si="137"/>
        <v>215.80194010159525</v>
      </c>
      <c r="X326">
        <f t="shared" si="138"/>
        <v>-356.39751113769927</v>
      </c>
      <c r="Y326">
        <f t="shared" si="139"/>
        <v>215.80194010159525</v>
      </c>
      <c r="AA326">
        <v>316</v>
      </c>
      <c r="AB326">
        <f t="shared" si="140"/>
        <v>323.70291015239286</v>
      </c>
      <c r="AC326">
        <f t="shared" si="141"/>
        <v>-312.59626670654893</v>
      </c>
      <c r="AD326">
        <v>316</v>
      </c>
      <c r="AE326">
        <f t="shared" si="142"/>
        <v>467.57087022012308</v>
      </c>
      <c r="AF326">
        <f t="shared" si="143"/>
        <v>-451.52794079834842</v>
      </c>
      <c r="AV326">
        <v>316</v>
      </c>
      <c r="AW326">
        <f t="shared" si="144"/>
        <v>503.53786023705561</v>
      </c>
      <c r="AX326">
        <f t="shared" si="145"/>
        <v>-486.26085932129831</v>
      </c>
      <c r="AZ326">
        <f t="shared" si="146"/>
        <v>503.53786023705561</v>
      </c>
      <c r="BA326">
        <f t="shared" si="147"/>
        <v>-486.26085932129831</v>
      </c>
    </row>
    <row r="327" spans="9:53" x14ac:dyDescent="0.25">
      <c r="I327">
        <v>317</v>
      </c>
      <c r="J327">
        <f t="shared" si="130"/>
        <v>365.67685080958535</v>
      </c>
      <c r="K327">
        <f t="shared" si="131"/>
        <v>-340.99918003124913</v>
      </c>
      <c r="M327">
        <v>317</v>
      </c>
      <c r="N327">
        <f t="shared" si="132"/>
        <v>420.52837843102316</v>
      </c>
      <c r="O327">
        <f t="shared" si="133"/>
        <v>-392.14905703593649</v>
      </c>
      <c r="Q327">
        <f t="shared" si="134"/>
        <v>-204.59950801874948</v>
      </c>
      <c r="R327">
        <f t="shared" si="135"/>
        <v>219.40611048575121</v>
      </c>
      <c r="S327">
        <f t="shared" si="128"/>
        <v>-352.59950801874948</v>
      </c>
      <c r="T327">
        <f t="shared" si="129"/>
        <v>219.40611048575121</v>
      </c>
      <c r="V327">
        <f t="shared" si="136"/>
        <v>-204.59950801874948</v>
      </c>
      <c r="W327">
        <f t="shared" si="137"/>
        <v>219.40611048575121</v>
      </c>
      <c r="X327">
        <f t="shared" si="138"/>
        <v>-352.59950801874948</v>
      </c>
      <c r="Y327">
        <f t="shared" si="139"/>
        <v>219.40611048575121</v>
      </c>
      <c r="AA327">
        <v>317</v>
      </c>
      <c r="AB327">
        <f t="shared" si="140"/>
        <v>329.10916572862681</v>
      </c>
      <c r="AC327">
        <f t="shared" si="141"/>
        <v>-306.89926202812421</v>
      </c>
      <c r="AD327">
        <v>317</v>
      </c>
      <c r="AE327">
        <f t="shared" si="142"/>
        <v>475.37990605246097</v>
      </c>
      <c r="AF327">
        <f t="shared" si="143"/>
        <v>-443.29893404062386</v>
      </c>
      <c r="AV327">
        <v>317</v>
      </c>
      <c r="AW327">
        <f t="shared" si="144"/>
        <v>511.94759113341945</v>
      </c>
      <c r="AX327">
        <f t="shared" si="145"/>
        <v>-477.39885204374878</v>
      </c>
      <c r="AZ327">
        <f t="shared" si="146"/>
        <v>511.94759113341945</v>
      </c>
      <c r="BA327">
        <f t="shared" si="147"/>
        <v>-477.39885204374878</v>
      </c>
    </row>
    <row r="328" spans="9:53" x14ac:dyDescent="0.25">
      <c r="I328">
        <v>318</v>
      </c>
      <c r="J328">
        <f t="shared" si="130"/>
        <v>371.5724127386971</v>
      </c>
      <c r="K328">
        <f t="shared" si="131"/>
        <v>-334.56530317942907</v>
      </c>
      <c r="M328">
        <v>318</v>
      </c>
      <c r="N328">
        <f t="shared" si="132"/>
        <v>427.3082746495017</v>
      </c>
      <c r="O328">
        <f t="shared" si="133"/>
        <v>-384.75009865634343</v>
      </c>
      <c r="Q328">
        <f t="shared" si="134"/>
        <v>-200.73918190765744</v>
      </c>
      <c r="R328">
        <f t="shared" si="135"/>
        <v>222.94344764321826</v>
      </c>
      <c r="S328">
        <f t="shared" si="128"/>
        <v>-348.73918190765744</v>
      </c>
      <c r="T328">
        <f t="shared" si="129"/>
        <v>222.94344764321826</v>
      </c>
      <c r="V328">
        <f t="shared" si="136"/>
        <v>-200.73918190765744</v>
      </c>
      <c r="W328">
        <f t="shared" si="137"/>
        <v>222.94344764321826</v>
      </c>
      <c r="X328">
        <f t="shared" si="138"/>
        <v>-348.73918190765744</v>
      </c>
      <c r="Y328">
        <f t="shared" si="139"/>
        <v>222.94344764321826</v>
      </c>
      <c r="AA328">
        <v>318</v>
      </c>
      <c r="AB328">
        <f t="shared" si="140"/>
        <v>334.41517146482744</v>
      </c>
      <c r="AC328">
        <f t="shared" si="141"/>
        <v>-301.10877286148616</v>
      </c>
      <c r="AD328">
        <v>318</v>
      </c>
      <c r="AE328">
        <f t="shared" si="142"/>
        <v>483.04413656030624</v>
      </c>
      <c r="AF328">
        <f t="shared" si="143"/>
        <v>-434.93489413325779</v>
      </c>
      <c r="AV328">
        <v>318</v>
      </c>
      <c r="AW328">
        <f t="shared" si="144"/>
        <v>520.20137783417601</v>
      </c>
      <c r="AX328">
        <f t="shared" si="145"/>
        <v>-468.39142445120069</v>
      </c>
      <c r="AZ328">
        <f t="shared" si="146"/>
        <v>520.20137783417601</v>
      </c>
      <c r="BA328">
        <f t="shared" si="147"/>
        <v>-468.39142445120069</v>
      </c>
    </row>
    <row r="329" spans="9:53" x14ac:dyDescent="0.25">
      <c r="I329">
        <v>319</v>
      </c>
      <c r="J329">
        <f t="shared" si="130"/>
        <v>377.35479011138597</v>
      </c>
      <c r="K329">
        <f t="shared" si="131"/>
        <v>-328.02951449525369</v>
      </c>
      <c r="M329">
        <v>319</v>
      </c>
      <c r="N329">
        <f t="shared" si="132"/>
        <v>433.95800862809386</v>
      </c>
      <c r="O329">
        <f t="shared" si="133"/>
        <v>-377.23394166954176</v>
      </c>
      <c r="Q329">
        <f t="shared" si="134"/>
        <v>-196.81770869715223</v>
      </c>
      <c r="R329">
        <f t="shared" si="135"/>
        <v>226.41287406683156</v>
      </c>
      <c r="S329">
        <f t="shared" si="128"/>
        <v>-344.81770869715223</v>
      </c>
      <c r="T329">
        <f t="shared" si="129"/>
        <v>226.41287406683156</v>
      </c>
      <c r="V329">
        <f t="shared" si="136"/>
        <v>-196.81770869715223</v>
      </c>
      <c r="W329">
        <f t="shared" si="137"/>
        <v>226.41287406683156</v>
      </c>
      <c r="X329">
        <f t="shared" si="138"/>
        <v>-344.81770869715223</v>
      </c>
      <c r="Y329">
        <f t="shared" si="139"/>
        <v>226.41287406683156</v>
      </c>
      <c r="AA329">
        <v>319</v>
      </c>
      <c r="AB329">
        <f t="shared" si="140"/>
        <v>339.61931110024733</v>
      </c>
      <c r="AC329">
        <f t="shared" si="141"/>
        <v>-295.22656304572831</v>
      </c>
      <c r="AD329">
        <v>319</v>
      </c>
      <c r="AE329">
        <f t="shared" si="142"/>
        <v>490.56122714480176</v>
      </c>
      <c r="AF329">
        <f t="shared" si="143"/>
        <v>-426.43836884382978</v>
      </c>
      <c r="AV329">
        <v>319</v>
      </c>
      <c r="AW329">
        <f t="shared" si="144"/>
        <v>528.29670615594034</v>
      </c>
      <c r="AX329">
        <f t="shared" si="145"/>
        <v>-459.24132029335516</v>
      </c>
      <c r="AZ329">
        <f t="shared" si="146"/>
        <v>528.29670615594034</v>
      </c>
      <c r="BA329">
        <f t="shared" si="147"/>
        <v>-459.24132029335516</v>
      </c>
    </row>
    <row r="330" spans="9:53" x14ac:dyDescent="0.25">
      <c r="I330">
        <v>320</v>
      </c>
      <c r="J330">
        <f t="shared" si="130"/>
        <v>383.02222155948891</v>
      </c>
      <c r="K330">
        <f t="shared" si="131"/>
        <v>-321.39380484326978</v>
      </c>
      <c r="M330">
        <v>320</v>
      </c>
      <c r="N330">
        <f t="shared" si="132"/>
        <v>440.47555479341224</v>
      </c>
      <c r="O330">
        <f t="shared" si="133"/>
        <v>-369.60287556976027</v>
      </c>
      <c r="Q330">
        <f t="shared" si="134"/>
        <v>-192.83628290596187</v>
      </c>
      <c r="R330">
        <f t="shared" si="135"/>
        <v>229.81333293569332</v>
      </c>
      <c r="S330">
        <f t="shared" si="128"/>
        <v>-340.83628290596187</v>
      </c>
      <c r="T330">
        <f t="shared" si="129"/>
        <v>229.81333293569332</v>
      </c>
      <c r="V330">
        <f t="shared" si="136"/>
        <v>-192.83628290596187</v>
      </c>
      <c r="W330">
        <f t="shared" si="137"/>
        <v>229.81333293569332</v>
      </c>
      <c r="X330">
        <f t="shared" si="138"/>
        <v>-340.83628290596187</v>
      </c>
      <c r="Y330">
        <f t="shared" si="139"/>
        <v>229.81333293569332</v>
      </c>
      <c r="AA330">
        <v>320</v>
      </c>
      <c r="AB330">
        <f t="shared" si="140"/>
        <v>344.71999940353999</v>
      </c>
      <c r="AC330">
        <f t="shared" si="141"/>
        <v>-289.2544243589428</v>
      </c>
      <c r="AD330">
        <v>320</v>
      </c>
      <c r="AE330">
        <f t="shared" si="142"/>
        <v>497.92888802733557</v>
      </c>
      <c r="AF330">
        <f t="shared" si="143"/>
        <v>-417.81194629625071</v>
      </c>
      <c r="AV330">
        <v>320</v>
      </c>
      <c r="AW330">
        <f t="shared" si="144"/>
        <v>536.2311101832845</v>
      </c>
      <c r="AX330">
        <f t="shared" si="145"/>
        <v>-449.95132678057769</v>
      </c>
      <c r="AZ330">
        <f t="shared" si="146"/>
        <v>536.2311101832845</v>
      </c>
      <c r="BA330">
        <f t="shared" si="147"/>
        <v>-449.95132678057769</v>
      </c>
    </row>
    <row r="331" spans="9:53" x14ac:dyDescent="0.25">
      <c r="I331">
        <v>321</v>
      </c>
      <c r="J331">
        <f t="shared" si="130"/>
        <v>388.57298072848528</v>
      </c>
      <c r="K331">
        <f t="shared" si="131"/>
        <v>-314.66019552491889</v>
      </c>
      <c r="M331">
        <v>321</v>
      </c>
      <c r="N331">
        <f t="shared" si="132"/>
        <v>446.85892783775807</v>
      </c>
      <c r="O331">
        <f t="shared" si="133"/>
        <v>-361.85922485365677</v>
      </c>
      <c r="Q331">
        <f t="shared" si="134"/>
        <v>-188.79611731495135</v>
      </c>
      <c r="R331">
        <f t="shared" si="135"/>
        <v>233.14378843709116</v>
      </c>
      <c r="S331">
        <f t="shared" ref="S331:S370" si="148">Q331+$T$7</f>
        <v>-336.79611731495135</v>
      </c>
      <c r="T331">
        <f t="shared" ref="T331:T370" si="149">R331+$T$8</f>
        <v>233.14378843709116</v>
      </c>
      <c r="V331">
        <f t="shared" si="136"/>
        <v>-188.79611731495135</v>
      </c>
      <c r="W331">
        <f t="shared" si="137"/>
        <v>233.14378843709116</v>
      </c>
      <c r="X331">
        <f t="shared" si="138"/>
        <v>-336.79611731495135</v>
      </c>
      <c r="Y331">
        <f t="shared" si="139"/>
        <v>233.14378843709116</v>
      </c>
      <c r="AA331">
        <v>321</v>
      </c>
      <c r="AB331">
        <f t="shared" si="140"/>
        <v>349.71568265563678</v>
      </c>
      <c r="AC331">
        <f t="shared" si="141"/>
        <v>-283.19417597242705</v>
      </c>
      <c r="AD331">
        <v>321</v>
      </c>
      <c r="AE331">
        <f t="shared" si="142"/>
        <v>505.14487494703087</v>
      </c>
      <c r="AF331">
        <f t="shared" si="143"/>
        <v>-409.05825418239459</v>
      </c>
      <c r="AV331">
        <v>321</v>
      </c>
      <c r="AW331">
        <f t="shared" si="144"/>
        <v>544.00217301987936</v>
      </c>
      <c r="AX331">
        <f t="shared" si="145"/>
        <v>-440.52427373488649</v>
      </c>
      <c r="AZ331">
        <f t="shared" si="146"/>
        <v>544.00217301987936</v>
      </c>
      <c r="BA331">
        <f t="shared" si="147"/>
        <v>-440.52427373488649</v>
      </c>
    </row>
    <row r="332" spans="9:53" x14ac:dyDescent="0.25">
      <c r="I332">
        <v>322</v>
      </c>
      <c r="J332">
        <f t="shared" ref="J332:J370" si="150">COS(I332*PI()/180)*$J$8</f>
        <v>394.00537680336078</v>
      </c>
      <c r="K332">
        <f t="shared" ref="K332:K370" si="151">SIN(I332*PI()/180)*$J$8</f>
        <v>-307.83073766282945</v>
      </c>
      <c r="M332">
        <v>322</v>
      </c>
      <c r="N332">
        <f t="shared" ref="N332:N370" si="152">COS(M332*PI()/180)*$N$8</f>
        <v>453.10618332386491</v>
      </c>
      <c r="O332">
        <f t="shared" ref="O332:O370" si="153">SIN(M332*PI()/180)*$N$8</f>
        <v>-354.00534831225383</v>
      </c>
      <c r="Q332">
        <f t="shared" ref="Q332:Q370" si="154">SIN(I332*PI()/180)*$Q$8</f>
        <v>-184.69844259769766</v>
      </c>
      <c r="R332">
        <f t="shared" ref="R332:R370" si="155">COS(I332*PI()/180)*$Q$8</f>
        <v>236.40322608201646</v>
      </c>
      <c r="S332">
        <f t="shared" si="148"/>
        <v>-332.69844259769764</v>
      </c>
      <c r="T332">
        <f t="shared" si="149"/>
        <v>236.40322608201646</v>
      </c>
      <c r="V332">
        <f t="shared" ref="V332:V370" si="156">SIN(I332*PI()/180)*$V$8</f>
        <v>-184.69844259769766</v>
      </c>
      <c r="W332">
        <f t="shared" ref="W332:W370" si="157">COS(I332*PI()/180)*$V$8</f>
        <v>236.40322608201646</v>
      </c>
      <c r="X332">
        <f t="shared" ref="X332:X370" si="158">V332+$Y$7</f>
        <v>-332.69844259769764</v>
      </c>
      <c r="Y332">
        <f t="shared" ref="Y332:Y370" si="159">W332+$Y$8</f>
        <v>236.40322608201646</v>
      </c>
      <c r="AA332">
        <v>322</v>
      </c>
      <c r="AB332">
        <f t="shared" ref="AB332:AB370" si="160">COS(AA332*PI()/180)*$AB$8</f>
        <v>354.6048391230247</v>
      </c>
      <c r="AC332">
        <f t="shared" ref="AC332:AC370" si="161">SIN(AA332*PI()/180)*$AB$8</f>
        <v>-277.04766389654645</v>
      </c>
      <c r="AD332">
        <v>322</v>
      </c>
      <c r="AE332">
        <f t="shared" ref="AE332:AE370" si="162">COS(AD332*PI()/180)*$AE$8</f>
        <v>512.20698984436899</v>
      </c>
      <c r="AF332">
        <f t="shared" ref="AF332:AF370" si="163">SIN(AD332*PI()/180)*$AE$8</f>
        <v>-400.17995896167827</v>
      </c>
      <c r="AV332">
        <v>322</v>
      </c>
      <c r="AW332">
        <f t="shared" ref="AW332:AW370" si="164">COS(AV332*PI()/180)*$AW$8</f>
        <v>551.60752752470512</v>
      </c>
      <c r="AX332">
        <f t="shared" ref="AX332:AX370" si="165">SIN(AV332*PI()/180)*$AW$8</f>
        <v>-430.96303272796121</v>
      </c>
      <c r="AZ332">
        <f t="shared" si="146"/>
        <v>551.60752752470512</v>
      </c>
      <c r="BA332">
        <f t="shared" si="147"/>
        <v>-430.96303272796121</v>
      </c>
    </row>
    <row r="333" spans="9:53" x14ac:dyDescent="0.25">
      <c r="I333">
        <v>323</v>
      </c>
      <c r="J333">
        <f t="shared" si="150"/>
        <v>399.31775502364644</v>
      </c>
      <c r="K333">
        <f t="shared" si="151"/>
        <v>-300.90751157602415</v>
      </c>
      <c r="M333">
        <v>323</v>
      </c>
      <c r="N333">
        <f t="shared" si="152"/>
        <v>459.21541827719335</v>
      </c>
      <c r="O333">
        <f t="shared" si="153"/>
        <v>-346.04363831242773</v>
      </c>
      <c r="Q333">
        <f t="shared" si="154"/>
        <v>-180.54450694561447</v>
      </c>
      <c r="R333">
        <f t="shared" si="155"/>
        <v>239.59065301418784</v>
      </c>
      <c r="S333">
        <f t="shared" si="148"/>
        <v>-328.54450694561444</v>
      </c>
      <c r="T333">
        <f t="shared" si="149"/>
        <v>239.59065301418784</v>
      </c>
      <c r="V333">
        <f t="shared" si="156"/>
        <v>-180.54450694561447</v>
      </c>
      <c r="W333">
        <f t="shared" si="157"/>
        <v>239.59065301418784</v>
      </c>
      <c r="X333">
        <f t="shared" si="158"/>
        <v>-328.54450694561444</v>
      </c>
      <c r="Y333">
        <f t="shared" si="159"/>
        <v>239.59065301418784</v>
      </c>
      <c r="AA333">
        <v>323</v>
      </c>
      <c r="AB333">
        <f t="shared" si="160"/>
        <v>359.3859795212818</v>
      </c>
      <c r="AC333">
        <f t="shared" si="161"/>
        <v>-270.81676041842172</v>
      </c>
      <c r="AD333">
        <v>323</v>
      </c>
      <c r="AE333">
        <f t="shared" si="162"/>
        <v>519.11308153074037</v>
      </c>
      <c r="AF333">
        <f t="shared" si="163"/>
        <v>-391.17976504883137</v>
      </c>
      <c r="AV333">
        <v>323</v>
      </c>
      <c r="AW333">
        <f t="shared" si="164"/>
        <v>559.04485703310502</v>
      </c>
      <c r="AX333">
        <f t="shared" si="165"/>
        <v>-421.2705162064338</v>
      </c>
      <c r="AZ333">
        <f t="shared" si="146"/>
        <v>559.04485703310502</v>
      </c>
      <c r="BA333">
        <f t="shared" si="147"/>
        <v>-421.2705162064338</v>
      </c>
    </row>
    <row r="334" spans="9:53" x14ac:dyDescent="0.25">
      <c r="I334">
        <v>324</v>
      </c>
      <c r="J334">
        <f t="shared" si="150"/>
        <v>404.50849718747367</v>
      </c>
      <c r="K334">
        <f t="shared" si="151"/>
        <v>-293.89262614623669</v>
      </c>
      <c r="M334">
        <v>324</v>
      </c>
      <c r="N334">
        <f t="shared" si="152"/>
        <v>465.18477176559475</v>
      </c>
      <c r="O334">
        <f t="shared" si="153"/>
        <v>-337.97652006817219</v>
      </c>
      <c r="Q334">
        <f t="shared" si="154"/>
        <v>-176.33557568774199</v>
      </c>
      <c r="R334">
        <f t="shared" si="155"/>
        <v>242.70509831248421</v>
      </c>
      <c r="S334">
        <f t="shared" si="148"/>
        <v>-324.33557568774199</v>
      </c>
      <c r="T334">
        <f t="shared" si="149"/>
        <v>242.70509831248421</v>
      </c>
      <c r="V334">
        <f t="shared" si="156"/>
        <v>-176.33557568774199</v>
      </c>
      <c r="W334">
        <f t="shared" si="157"/>
        <v>242.70509831248421</v>
      </c>
      <c r="X334">
        <f t="shared" si="158"/>
        <v>-324.33557568774199</v>
      </c>
      <c r="Y334">
        <f t="shared" si="159"/>
        <v>242.70509831248421</v>
      </c>
      <c r="AA334">
        <v>324</v>
      </c>
      <c r="AB334">
        <f t="shared" si="160"/>
        <v>364.05764746872632</v>
      </c>
      <c r="AC334">
        <f t="shared" si="161"/>
        <v>-264.50336353161299</v>
      </c>
      <c r="AD334">
        <v>324</v>
      </c>
      <c r="AE334">
        <f t="shared" si="162"/>
        <v>525.86104634371577</v>
      </c>
      <c r="AF334">
        <f t="shared" si="163"/>
        <v>-382.06041399010769</v>
      </c>
      <c r="AV334">
        <v>324</v>
      </c>
      <c r="AW334">
        <f t="shared" si="164"/>
        <v>566.31189606246312</v>
      </c>
      <c r="AX334">
        <f t="shared" si="165"/>
        <v>-411.44967660473134</v>
      </c>
      <c r="AZ334">
        <f t="shared" si="146"/>
        <v>566.31189606246312</v>
      </c>
      <c r="BA334">
        <f t="shared" si="147"/>
        <v>-411.44967660473134</v>
      </c>
    </row>
    <row r="335" spans="9:53" x14ac:dyDescent="0.25">
      <c r="I335">
        <v>325</v>
      </c>
      <c r="J335">
        <f t="shared" si="150"/>
        <v>409.57602214449577</v>
      </c>
      <c r="K335">
        <f t="shared" si="151"/>
        <v>-286.78821817552324</v>
      </c>
      <c r="M335">
        <v>325</v>
      </c>
      <c r="N335">
        <f t="shared" si="152"/>
        <v>471.01242546617016</v>
      </c>
      <c r="O335">
        <f t="shared" si="153"/>
        <v>-329.80645090185175</v>
      </c>
      <c r="Q335">
        <f t="shared" si="154"/>
        <v>-172.07293090531394</v>
      </c>
      <c r="R335">
        <f t="shared" si="155"/>
        <v>245.74561328669748</v>
      </c>
      <c r="S335">
        <f t="shared" si="148"/>
        <v>-320.07293090531391</v>
      </c>
      <c r="T335">
        <f t="shared" si="149"/>
        <v>245.74561328669748</v>
      </c>
      <c r="V335">
        <f t="shared" si="156"/>
        <v>-172.07293090531394</v>
      </c>
      <c r="W335">
        <f t="shared" si="157"/>
        <v>245.74561328669748</v>
      </c>
      <c r="X335">
        <f t="shared" si="158"/>
        <v>-320.07293090531391</v>
      </c>
      <c r="Y335">
        <f t="shared" si="159"/>
        <v>245.74561328669748</v>
      </c>
      <c r="AA335">
        <v>325</v>
      </c>
      <c r="AB335">
        <f t="shared" si="160"/>
        <v>368.61841993004623</v>
      </c>
      <c r="AC335">
        <f t="shared" si="161"/>
        <v>-258.10939635797092</v>
      </c>
      <c r="AD335">
        <v>325</v>
      </c>
      <c r="AE335">
        <f t="shared" si="162"/>
        <v>532.44882878784449</v>
      </c>
      <c r="AF335">
        <f t="shared" si="163"/>
        <v>-372.8246836281802</v>
      </c>
      <c r="AV335">
        <v>325</v>
      </c>
      <c r="AW335">
        <f t="shared" si="164"/>
        <v>573.40643100229408</v>
      </c>
      <c r="AX335">
        <f t="shared" si="165"/>
        <v>-401.50350544573257</v>
      </c>
      <c r="AZ335">
        <f t="shared" si="146"/>
        <v>573.40643100229408</v>
      </c>
      <c r="BA335">
        <f t="shared" si="147"/>
        <v>-401.50350544573257</v>
      </c>
    </row>
    <row r="336" spans="9:53" x14ac:dyDescent="0.25">
      <c r="I336">
        <v>326</v>
      </c>
      <c r="J336">
        <f t="shared" si="150"/>
        <v>414.51878627752069</v>
      </c>
      <c r="K336">
        <f t="shared" si="151"/>
        <v>-279.59645173537365</v>
      </c>
      <c r="M336">
        <v>326</v>
      </c>
      <c r="N336">
        <f t="shared" si="152"/>
        <v>476.69660421914881</v>
      </c>
      <c r="O336">
        <f t="shared" si="153"/>
        <v>-321.53591949567971</v>
      </c>
      <c r="Q336">
        <f t="shared" si="154"/>
        <v>-167.75787104122421</v>
      </c>
      <c r="R336">
        <f t="shared" si="155"/>
        <v>248.71127176651243</v>
      </c>
      <c r="S336">
        <f t="shared" si="148"/>
        <v>-315.75787104122423</v>
      </c>
      <c r="T336">
        <f t="shared" si="149"/>
        <v>248.71127176651243</v>
      </c>
      <c r="V336">
        <f t="shared" si="156"/>
        <v>-167.75787104122421</v>
      </c>
      <c r="W336">
        <f t="shared" si="157"/>
        <v>248.71127176651243</v>
      </c>
      <c r="X336">
        <f t="shared" si="158"/>
        <v>-315.75787104122423</v>
      </c>
      <c r="Y336">
        <f t="shared" si="159"/>
        <v>248.71127176651243</v>
      </c>
      <c r="AA336">
        <v>326</v>
      </c>
      <c r="AB336">
        <f t="shared" si="160"/>
        <v>373.06690764976861</v>
      </c>
      <c r="AC336">
        <f t="shared" si="161"/>
        <v>-251.63680656183629</v>
      </c>
      <c r="AD336">
        <v>326</v>
      </c>
      <c r="AE336">
        <f t="shared" si="162"/>
        <v>538.87442216077693</v>
      </c>
      <c r="AF336">
        <f t="shared" si="163"/>
        <v>-363.47538725598577</v>
      </c>
      <c r="AV336">
        <v>326</v>
      </c>
      <c r="AW336">
        <f t="shared" si="164"/>
        <v>580.32630078852901</v>
      </c>
      <c r="AX336">
        <f t="shared" si="165"/>
        <v>-391.43503242952312</v>
      </c>
      <c r="AZ336">
        <f t="shared" si="146"/>
        <v>580.32630078852901</v>
      </c>
      <c r="BA336">
        <f t="shared" si="147"/>
        <v>-391.43503242952312</v>
      </c>
    </row>
    <row r="337" spans="9:53" x14ac:dyDescent="0.25">
      <c r="I337">
        <v>327</v>
      </c>
      <c r="J337">
        <f t="shared" si="150"/>
        <v>419.33528397271203</v>
      </c>
      <c r="K337">
        <f t="shared" si="151"/>
        <v>-272.31951750751347</v>
      </c>
      <c r="M337">
        <v>327</v>
      </c>
      <c r="N337">
        <f t="shared" si="152"/>
        <v>482.23557656861885</v>
      </c>
      <c r="O337">
        <f t="shared" si="153"/>
        <v>-313.16744513364051</v>
      </c>
      <c r="Q337">
        <f t="shared" si="154"/>
        <v>-163.3917105045081</v>
      </c>
      <c r="R337">
        <f t="shared" si="155"/>
        <v>251.60117038362722</v>
      </c>
      <c r="S337">
        <f t="shared" si="148"/>
        <v>-311.39171050450807</v>
      </c>
      <c r="T337">
        <f t="shared" si="149"/>
        <v>251.60117038362722</v>
      </c>
      <c r="V337">
        <f t="shared" si="156"/>
        <v>-163.3917105045081</v>
      </c>
      <c r="W337">
        <f t="shared" si="157"/>
        <v>251.60117038362722</v>
      </c>
      <c r="X337">
        <f t="shared" si="158"/>
        <v>-311.39171050450807</v>
      </c>
      <c r="Y337">
        <f t="shared" si="159"/>
        <v>251.60117038362722</v>
      </c>
      <c r="AA337">
        <v>327</v>
      </c>
      <c r="AB337">
        <f t="shared" si="160"/>
        <v>377.4017555754408</v>
      </c>
      <c r="AC337">
        <f t="shared" si="161"/>
        <v>-245.08756575676213</v>
      </c>
      <c r="AD337">
        <v>327</v>
      </c>
      <c r="AE337">
        <f t="shared" si="162"/>
        <v>545.13586916452562</v>
      </c>
      <c r="AF337">
        <f t="shared" si="163"/>
        <v>-354.01537275976756</v>
      </c>
      <c r="AV337">
        <v>327</v>
      </c>
      <c r="AW337">
        <f t="shared" si="164"/>
        <v>587.06939756179679</v>
      </c>
      <c r="AX337">
        <f t="shared" si="165"/>
        <v>-381.24732451051887</v>
      </c>
      <c r="AZ337">
        <f t="shared" si="146"/>
        <v>587.06939756179679</v>
      </c>
      <c r="BA337">
        <f t="shared" si="147"/>
        <v>-381.24732451051887</v>
      </c>
    </row>
    <row r="338" spans="9:53" x14ac:dyDescent="0.25">
      <c r="I338">
        <v>328</v>
      </c>
      <c r="J338">
        <f t="shared" si="150"/>
        <v>424.02404807821267</v>
      </c>
      <c r="K338">
        <f t="shared" si="151"/>
        <v>-264.9596321166029</v>
      </c>
      <c r="M338">
        <v>328</v>
      </c>
      <c r="N338">
        <f t="shared" si="152"/>
        <v>487.62765528994458</v>
      </c>
      <c r="O338">
        <f t="shared" si="153"/>
        <v>-304.70357693409335</v>
      </c>
      <c r="Q338">
        <f t="shared" si="154"/>
        <v>-158.97577926996175</v>
      </c>
      <c r="R338">
        <f t="shared" si="155"/>
        <v>254.41442884692762</v>
      </c>
      <c r="S338">
        <f t="shared" si="148"/>
        <v>-306.97577926996178</v>
      </c>
      <c r="T338">
        <f t="shared" si="149"/>
        <v>254.41442884692762</v>
      </c>
      <c r="V338">
        <f t="shared" si="156"/>
        <v>-158.97577926996175</v>
      </c>
      <c r="W338">
        <f t="shared" si="157"/>
        <v>254.41442884692762</v>
      </c>
      <c r="X338">
        <f t="shared" si="158"/>
        <v>-306.97577926996178</v>
      </c>
      <c r="Y338">
        <f t="shared" si="159"/>
        <v>254.41442884692762</v>
      </c>
      <c r="AA338">
        <v>328</v>
      </c>
      <c r="AB338">
        <f t="shared" si="160"/>
        <v>381.62164327039142</v>
      </c>
      <c r="AC338">
        <f t="shared" si="161"/>
        <v>-238.46366890494261</v>
      </c>
      <c r="AD338">
        <v>328</v>
      </c>
      <c r="AE338">
        <f t="shared" si="162"/>
        <v>551.2312625016765</v>
      </c>
      <c r="AF338">
        <f t="shared" si="163"/>
        <v>-344.44752175158374</v>
      </c>
      <c r="AV338">
        <v>328</v>
      </c>
      <c r="AW338">
        <f t="shared" si="164"/>
        <v>593.63366730949781</v>
      </c>
      <c r="AX338">
        <f t="shared" si="165"/>
        <v>-370.94348496324403</v>
      </c>
      <c r="AZ338">
        <f t="shared" si="146"/>
        <v>593.63366730949781</v>
      </c>
      <c r="BA338">
        <f t="shared" si="147"/>
        <v>-370.94348496324403</v>
      </c>
    </row>
    <row r="339" spans="9:53" x14ac:dyDescent="0.25">
      <c r="I339">
        <v>329</v>
      </c>
      <c r="J339">
        <f t="shared" si="150"/>
        <v>428.58365035105606</v>
      </c>
      <c r="K339">
        <f t="shared" si="151"/>
        <v>-257.51903745502722</v>
      </c>
      <c r="M339">
        <v>329</v>
      </c>
      <c r="N339">
        <f t="shared" si="152"/>
        <v>492.87119790371446</v>
      </c>
      <c r="O339">
        <f t="shared" si="153"/>
        <v>-296.14689307328132</v>
      </c>
      <c r="Q339">
        <f t="shared" si="154"/>
        <v>-154.51142247301635</v>
      </c>
      <c r="R339">
        <f t="shared" si="155"/>
        <v>257.15019021063364</v>
      </c>
      <c r="S339">
        <f t="shared" si="148"/>
        <v>-302.51142247301635</v>
      </c>
      <c r="T339">
        <f t="shared" si="149"/>
        <v>257.15019021063364</v>
      </c>
      <c r="V339">
        <f t="shared" si="156"/>
        <v>-154.51142247301635</v>
      </c>
      <c r="W339">
        <f t="shared" si="157"/>
        <v>257.15019021063364</v>
      </c>
      <c r="X339">
        <f t="shared" si="158"/>
        <v>-302.51142247301635</v>
      </c>
      <c r="Y339">
        <f t="shared" si="159"/>
        <v>257.15019021063364</v>
      </c>
      <c r="AA339">
        <v>329</v>
      </c>
      <c r="AB339">
        <f t="shared" si="160"/>
        <v>385.72528531595043</v>
      </c>
      <c r="AC339">
        <f t="shared" si="161"/>
        <v>-231.76713370952453</v>
      </c>
      <c r="AD339">
        <v>329</v>
      </c>
      <c r="AE339">
        <f t="shared" si="162"/>
        <v>557.15874545637291</v>
      </c>
      <c r="AF339">
        <f t="shared" si="163"/>
        <v>-334.77474869153542</v>
      </c>
      <c r="AV339">
        <v>329</v>
      </c>
      <c r="AW339">
        <f t="shared" si="164"/>
        <v>600.01711049147843</v>
      </c>
      <c r="AX339">
        <f t="shared" si="165"/>
        <v>-360.52665243703814</v>
      </c>
      <c r="AZ339">
        <f t="shared" si="146"/>
        <v>600.01711049147843</v>
      </c>
      <c r="BA339">
        <f t="shared" si="147"/>
        <v>-360.52665243703814</v>
      </c>
    </row>
    <row r="340" spans="9:53" x14ac:dyDescent="0.25">
      <c r="I340">
        <v>330</v>
      </c>
      <c r="J340">
        <f t="shared" si="150"/>
        <v>433.01270189221918</v>
      </c>
      <c r="K340">
        <f t="shared" si="151"/>
        <v>-250.00000000000023</v>
      </c>
      <c r="M340">
        <v>330</v>
      </c>
      <c r="N340">
        <f t="shared" si="152"/>
        <v>497.96460717605208</v>
      </c>
      <c r="O340">
        <f t="shared" si="153"/>
        <v>-287.50000000000023</v>
      </c>
      <c r="Q340">
        <f t="shared" si="154"/>
        <v>-150.00000000000014</v>
      </c>
      <c r="R340">
        <f t="shared" si="155"/>
        <v>259.80762113533149</v>
      </c>
      <c r="S340">
        <f t="shared" si="148"/>
        <v>-298.00000000000011</v>
      </c>
      <c r="T340">
        <f t="shared" si="149"/>
        <v>259.80762113533149</v>
      </c>
      <c r="V340">
        <f t="shared" si="156"/>
        <v>-150.00000000000014</v>
      </c>
      <c r="W340">
        <f t="shared" si="157"/>
        <v>259.80762113533149</v>
      </c>
      <c r="X340">
        <f t="shared" si="158"/>
        <v>-298.00000000000011</v>
      </c>
      <c r="Y340">
        <f t="shared" si="159"/>
        <v>259.80762113533149</v>
      </c>
      <c r="AA340">
        <v>330</v>
      </c>
      <c r="AB340">
        <f t="shared" si="160"/>
        <v>389.71143170299729</v>
      </c>
      <c r="AC340">
        <f t="shared" si="161"/>
        <v>-225.0000000000002</v>
      </c>
      <c r="AD340">
        <v>330</v>
      </c>
      <c r="AE340">
        <f t="shared" si="162"/>
        <v>562.91651245988498</v>
      </c>
      <c r="AF340">
        <f t="shared" si="163"/>
        <v>-325.00000000000028</v>
      </c>
      <c r="AV340">
        <v>330</v>
      </c>
      <c r="AW340">
        <f t="shared" si="164"/>
        <v>606.21778264910688</v>
      </c>
      <c r="AX340">
        <f t="shared" si="165"/>
        <v>-350.00000000000028</v>
      </c>
      <c r="AZ340">
        <f t="shared" si="146"/>
        <v>606.21778264910688</v>
      </c>
      <c r="BA340">
        <f t="shared" si="147"/>
        <v>-350.00000000000028</v>
      </c>
    </row>
    <row r="341" spans="9:53" x14ac:dyDescent="0.25">
      <c r="I341">
        <v>331</v>
      </c>
      <c r="J341">
        <f t="shared" si="150"/>
        <v>437.30985356969791</v>
      </c>
      <c r="K341">
        <f t="shared" si="151"/>
        <v>-242.40481012316846</v>
      </c>
      <c r="M341">
        <v>331</v>
      </c>
      <c r="N341">
        <f t="shared" si="152"/>
        <v>502.90633160515262</v>
      </c>
      <c r="O341">
        <f t="shared" si="153"/>
        <v>-278.76553164164369</v>
      </c>
      <c r="Q341">
        <f t="shared" si="154"/>
        <v>-145.44288607390106</v>
      </c>
      <c r="R341">
        <f t="shared" si="155"/>
        <v>262.38591214181878</v>
      </c>
      <c r="S341">
        <f t="shared" si="148"/>
        <v>-293.44288607390104</v>
      </c>
      <c r="T341">
        <f t="shared" si="149"/>
        <v>262.38591214181878</v>
      </c>
      <c r="V341">
        <f t="shared" si="156"/>
        <v>-145.44288607390106</v>
      </c>
      <c r="W341">
        <f t="shared" si="157"/>
        <v>262.38591214181878</v>
      </c>
      <c r="X341">
        <f t="shared" si="158"/>
        <v>-293.44288607390104</v>
      </c>
      <c r="Y341">
        <f t="shared" si="159"/>
        <v>262.38591214181878</v>
      </c>
      <c r="AA341">
        <v>331</v>
      </c>
      <c r="AB341">
        <f t="shared" si="160"/>
        <v>393.57886821272814</v>
      </c>
      <c r="AC341">
        <f t="shared" si="161"/>
        <v>-218.16432911085161</v>
      </c>
      <c r="AD341">
        <v>331</v>
      </c>
      <c r="AE341">
        <f t="shared" si="162"/>
        <v>568.50280964060732</v>
      </c>
      <c r="AF341">
        <f t="shared" si="163"/>
        <v>-315.12625316011901</v>
      </c>
      <c r="AV341">
        <v>331</v>
      </c>
      <c r="AW341">
        <f t="shared" si="164"/>
        <v>612.23379499757709</v>
      </c>
      <c r="AX341">
        <f t="shared" si="165"/>
        <v>-339.36673417243583</v>
      </c>
      <c r="AZ341">
        <f t="shared" si="146"/>
        <v>612.23379499757709</v>
      </c>
      <c r="BA341">
        <f t="shared" si="147"/>
        <v>-339.36673417243583</v>
      </c>
    </row>
    <row r="342" spans="9:53" x14ac:dyDescent="0.25">
      <c r="I342">
        <v>332</v>
      </c>
      <c r="J342">
        <f t="shared" si="150"/>
        <v>441.47379642946345</v>
      </c>
      <c r="K342">
        <f t="shared" si="151"/>
        <v>-234.7357813929454</v>
      </c>
      <c r="M342">
        <v>332</v>
      </c>
      <c r="N342">
        <f t="shared" si="152"/>
        <v>507.69486589388293</v>
      </c>
      <c r="O342">
        <f t="shared" si="153"/>
        <v>-269.94614860188722</v>
      </c>
      <c r="Q342">
        <f t="shared" si="154"/>
        <v>-140.84146883576724</v>
      </c>
      <c r="R342">
        <f t="shared" si="155"/>
        <v>264.88427785767806</v>
      </c>
      <c r="S342">
        <f t="shared" si="148"/>
        <v>-288.84146883576727</v>
      </c>
      <c r="T342">
        <f t="shared" si="149"/>
        <v>264.88427785767806</v>
      </c>
      <c r="V342">
        <f t="shared" si="156"/>
        <v>-140.84146883576724</v>
      </c>
      <c r="W342">
        <f t="shared" si="157"/>
        <v>264.88427785767806</v>
      </c>
      <c r="X342">
        <f t="shared" si="158"/>
        <v>-288.84146883576727</v>
      </c>
      <c r="Y342">
        <f t="shared" si="159"/>
        <v>264.88427785767806</v>
      </c>
      <c r="AA342">
        <v>332</v>
      </c>
      <c r="AB342">
        <f t="shared" si="160"/>
        <v>397.32641678651709</v>
      </c>
      <c r="AC342">
        <f t="shared" si="161"/>
        <v>-211.26220325365085</v>
      </c>
      <c r="AD342">
        <v>332</v>
      </c>
      <c r="AE342">
        <f t="shared" si="162"/>
        <v>573.91593535830248</v>
      </c>
      <c r="AF342">
        <f t="shared" si="163"/>
        <v>-305.15651581082903</v>
      </c>
      <c r="AV342">
        <v>332</v>
      </c>
      <c r="AW342">
        <f t="shared" si="164"/>
        <v>618.06331500124884</v>
      </c>
      <c r="AX342">
        <f t="shared" si="165"/>
        <v>-328.63009395012358</v>
      </c>
      <c r="AZ342">
        <f t="shared" si="146"/>
        <v>618.06331500124884</v>
      </c>
      <c r="BA342">
        <f t="shared" si="147"/>
        <v>-328.63009395012358</v>
      </c>
    </row>
    <row r="343" spans="9:53" x14ac:dyDescent="0.25">
      <c r="I343">
        <v>333</v>
      </c>
      <c r="J343">
        <f t="shared" si="150"/>
        <v>445.50326209418387</v>
      </c>
      <c r="K343">
        <f t="shared" si="151"/>
        <v>-226.99524986977349</v>
      </c>
      <c r="M343">
        <v>333</v>
      </c>
      <c r="N343">
        <f t="shared" si="152"/>
        <v>512.32875140831152</v>
      </c>
      <c r="O343">
        <f t="shared" si="153"/>
        <v>-261.04453735023952</v>
      </c>
      <c r="Q343">
        <f t="shared" si="154"/>
        <v>-136.19714992186408</v>
      </c>
      <c r="R343">
        <f t="shared" si="155"/>
        <v>267.30195725651032</v>
      </c>
      <c r="S343">
        <f t="shared" si="148"/>
        <v>-284.19714992186408</v>
      </c>
      <c r="T343">
        <f t="shared" si="149"/>
        <v>267.30195725651032</v>
      </c>
      <c r="V343">
        <f t="shared" si="156"/>
        <v>-136.19714992186408</v>
      </c>
      <c r="W343">
        <f t="shared" si="157"/>
        <v>267.30195725651032</v>
      </c>
      <c r="X343">
        <f t="shared" si="158"/>
        <v>-284.19714992186408</v>
      </c>
      <c r="Y343">
        <f t="shared" si="159"/>
        <v>267.30195725651032</v>
      </c>
      <c r="AA343">
        <v>333</v>
      </c>
      <c r="AB343">
        <f t="shared" si="160"/>
        <v>400.95293588476551</v>
      </c>
      <c r="AC343">
        <f t="shared" si="161"/>
        <v>-204.29572488279615</v>
      </c>
      <c r="AD343">
        <v>333</v>
      </c>
      <c r="AE343">
        <f t="shared" si="162"/>
        <v>579.15424072243911</v>
      </c>
      <c r="AF343">
        <f t="shared" si="163"/>
        <v>-295.09382483070556</v>
      </c>
      <c r="AV343">
        <v>333</v>
      </c>
      <c r="AW343">
        <f t="shared" si="164"/>
        <v>623.70456693185747</v>
      </c>
      <c r="AX343">
        <f t="shared" si="165"/>
        <v>-317.79334981768289</v>
      </c>
      <c r="AZ343">
        <f t="shared" si="146"/>
        <v>623.70456693185747</v>
      </c>
      <c r="BA343">
        <f t="shared" si="147"/>
        <v>-317.79334981768289</v>
      </c>
    </row>
    <row r="344" spans="9:53" x14ac:dyDescent="0.25">
      <c r="I344">
        <v>334</v>
      </c>
      <c r="J344">
        <f t="shared" si="150"/>
        <v>449.39702314958356</v>
      </c>
      <c r="K344">
        <f t="shared" si="151"/>
        <v>-219.18557339453849</v>
      </c>
      <c r="M344">
        <v>334</v>
      </c>
      <c r="N344">
        <f t="shared" si="152"/>
        <v>516.80657662202111</v>
      </c>
      <c r="O344">
        <f t="shared" si="153"/>
        <v>-252.06340940371928</v>
      </c>
      <c r="Q344">
        <f t="shared" si="154"/>
        <v>-131.5113440367231</v>
      </c>
      <c r="R344">
        <f t="shared" si="155"/>
        <v>269.63821388975015</v>
      </c>
      <c r="S344">
        <f t="shared" si="148"/>
        <v>-279.51134403672313</v>
      </c>
      <c r="T344">
        <f t="shared" si="149"/>
        <v>269.63821388975015</v>
      </c>
      <c r="V344">
        <f t="shared" si="156"/>
        <v>-131.5113440367231</v>
      </c>
      <c r="W344">
        <f t="shared" si="157"/>
        <v>269.63821388975015</v>
      </c>
      <c r="X344">
        <f t="shared" si="158"/>
        <v>-279.51134403672313</v>
      </c>
      <c r="Y344">
        <f t="shared" si="159"/>
        <v>269.63821388975015</v>
      </c>
      <c r="AA344">
        <v>334</v>
      </c>
      <c r="AB344">
        <f t="shared" si="160"/>
        <v>404.45732083462519</v>
      </c>
      <c r="AC344">
        <f t="shared" si="161"/>
        <v>-197.26701605508467</v>
      </c>
      <c r="AD344">
        <v>334</v>
      </c>
      <c r="AE344">
        <f t="shared" si="162"/>
        <v>584.21613009445866</v>
      </c>
      <c r="AF344">
        <f t="shared" si="163"/>
        <v>-284.94124541290006</v>
      </c>
      <c r="AV344">
        <v>334</v>
      </c>
      <c r="AW344">
        <f t="shared" si="164"/>
        <v>629.15583240941703</v>
      </c>
      <c r="AX344">
        <f t="shared" si="165"/>
        <v>-306.85980275235391</v>
      </c>
      <c r="AZ344">
        <f t="shared" si="146"/>
        <v>629.15583240941703</v>
      </c>
      <c r="BA344">
        <f t="shared" si="147"/>
        <v>-306.85980275235391</v>
      </c>
    </row>
    <row r="345" spans="9:53" x14ac:dyDescent="0.25">
      <c r="I345">
        <v>335</v>
      </c>
      <c r="J345">
        <f t="shared" si="150"/>
        <v>453.15389351832488</v>
      </c>
      <c r="K345">
        <f t="shared" si="151"/>
        <v>-211.30913087035</v>
      </c>
      <c r="M345">
        <v>335</v>
      </c>
      <c r="N345">
        <f t="shared" si="152"/>
        <v>521.12697754607359</v>
      </c>
      <c r="O345">
        <f t="shared" si="153"/>
        <v>-243.00550050090249</v>
      </c>
      <c r="Q345">
        <f t="shared" si="154"/>
        <v>-126.78547852221</v>
      </c>
      <c r="R345">
        <f t="shared" si="155"/>
        <v>271.8923361109949</v>
      </c>
      <c r="S345">
        <f t="shared" si="148"/>
        <v>-274.78547852220998</v>
      </c>
      <c r="T345">
        <f t="shared" si="149"/>
        <v>271.8923361109949</v>
      </c>
      <c r="V345">
        <f t="shared" si="156"/>
        <v>-126.78547852221</v>
      </c>
      <c r="W345">
        <f t="shared" si="157"/>
        <v>271.8923361109949</v>
      </c>
      <c r="X345">
        <f t="shared" si="158"/>
        <v>-274.78547852220998</v>
      </c>
      <c r="Y345">
        <f t="shared" si="159"/>
        <v>271.8923361109949</v>
      </c>
      <c r="AA345">
        <v>335</v>
      </c>
      <c r="AB345">
        <f t="shared" si="160"/>
        <v>407.83850416649238</v>
      </c>
      <c r="AC345">
        <f t="shared" si="161"/>
        <v>-190.17821778331501</v>
      </c>
      <c r="AD345">
        <v>335</v>
      </c>
      <c r="AE345">
        <f t="shared" si="162"/>
        <v>589.10006157382236</v>
      </c>
      <c r="AF345">
        <f t="shared" si="163"/>
        <v>-274.701870131455</v>
      </c>
      <c r="AV345">
        <v>335</v>
      </c>
      <c r="AW345">
        <f t="shared" si="164"/>
        <v>634.4154509256548</v>
      </c>
      <c r="AX345">
        <f t="shared" si="165"/>
        <v>-295.83278321849002</v>
      </c>
      <c r="AZ345">
        <f t="shared" si="146"/>
        <v>634.4154509256548</v>
      </c>
      <c r="BA345">
        <f t="shared" si="147"/>
        <v>-295.83278321849002</v>
      </c>
    </row>
    <row r="346" spans="9:53" x14ac:dyDescent="0.25">
      <c r="I346">
        <v>336</v>
      </c>
      <c r="J346">
        <f t="shared" si="150"/>
        <v>456.77272882130046</v>
      </c>
      <c r="K346">
        <f t="shared" si="151"/>
        <v>-203.36832153790007</v>
      </c>
      <c r="M346">
        <v>336</v>
      </c>
      <c r="N346">
        <f t="shared" si="152"/>
        <v>525.28863814449551</v>
      </c>
      <c r="O346">
        <f t="shared" si="153"/>
        <v>-233.8735697685851</v>
      </c>
      <c r="Q346">
        <f t="shared" si="154"/>
        <v>-122.02099292274005</v>
      </c>
      <c r="R346">
        <f t="shared" si="155"/>
        <v>274.0636372927803</v>
      </c>
      <c r="S346">
        <f t="shared" si="148"/>
        <v>-270.02099292274005</v>
      </c>
      <c r="T346">
        <f t="shared" si="149"/>
        <v>274.0636372927803</v>
      </c>
      <c r="V346">
        <f t="shared" si="156"/>
        <v>-122.02099292274005</v>
      </c>
      <c r="W346">
        <f t="shared" si="157"/>
        <v>274.0636372927803</v>
      </c>
      <c r="X346">
        <f t="shared" si="158"/>
        <v>-270.02099292274005</v>
      </c>
      <c r="Y346">
        <f t="shared" si="159"/>
        <v>274.0636372927803</v>
      </c>
      <c r="AA346">
        <v>336</v>
      </c>
      <c r="AB346">
        <f t="shared" si="160"/>
        <v>411.09545593917045</v>
      </c>
      <c r="AC346">
        <f t="shared" si="161"/>
        <v>-183.03148938411007</v>
      </c>
      <c r="AD346">
        <v>336</v>
      </c>
      <c r="AE346">
        <f t="shared" si="162"/>
        <v>593.80454746769067</v>
      </c>
      <c r="AF346">
        <f t="shared" si="163"/>
        <v>-264.3788179992701</v>
      </c>
      <c r="AV346">
        <v>336</v>
      </c>
      <c r="AW346">
        <f t="shared" si="164"/>
        <v>639.48182034982074</v>
      </c>
      <c r="AX346">
        <f t="shared" si="165"/>
        <v>-284.7156501530601</v>
      </c>
      <c r="AZ346">
        <f t="shared" si="146"/>
        <v>639.48182034982074</v>
      </c>
      <c r="BA346">
        <f t="shared" si="147"/>
        <v>-284.7156501530601</v>
      </c>
    </row>
    <row r="347" spans="9:53" x14ac:dyDescent="0.25">
      <c r="I347">
        <v>337</v>
      </c>
      <c r="J347">
        <f t="shared" si="150"/>
        <v>460.25242672621994</v>
      </c>
      <c r="K347">
        <f t="shared" si="151"/>
        <v>-195.36556424463737</v>
      </c>
      <c r="M347">
        <v>337</v>
      </c>
      <c r="N347">
        <f t="shared" si="152"/>
        <v>529.29029073515301</v>
      </c>
      <c r="O347">
        <f t="shared" si="153"/>
        <v>-224.67039888133297</v>
      </c>
      <c r="Q347">
        <f t="shared" si="154"/>
        <v>-117.21933854678241</v>
      </c>
      <c r="R347">
        <f t="shared" si="155"/>
        <v>276.151456035732</v>
      </c>
      <c r="S347">
        <f t="shared" si="148"/>
        <v>-265.21933854678241</v>
      </c>
      <c r="T347">
        <f t="shared" si="149"/>
        <v>276.151456035732</v>
      </c>
      <c r="V347">
        <f t="shared" si="156"/>
        <v>-117.21933854678241</v>
      </c>
      <c r="W347">
        <f t="shared" si="157"/>
        <v>276.151456035732</v>
      </c>
      <c r="X347">
        <f t="shared" si="158"/>
        <v>-265.21933854678241</v>
      </c>
      <c r="Y347">
        <f t="shared" si="159"/>
        <v>276.151456035732</v>
      </c>
      <c r="AA347">
        <v>337</v>
      </c>
      <c r="AB347">
        <f t="shared" si="160"/>
        <v>414.22718405359797</v>
      </c>
      <c r="AC347">
        <f t="shared" si="161"/>
        <v>-175.82900782017362</v>
      </c>
      <c r="AD347">
        <v>337</v>
      </c>
      <c r="AE347">
        <f t="shared" si="162"/>
        <v>598.32815474408596</v>
      </c>
      <c r="AF347">
        <f t="shared" si="163"/>
        <v>-253.97523351802857</v>
      </c>
      <c r="AV347">
        <v>337</v>
      </c>
      <c r="AW347">
        <f t="shared" si="164"/>
        <v>644.35339741670794</v>
      </c>
      <c r="AX347">
        <f t="shared" si="165"/>
        <v>-273.51178994249233</v>
      </c>
      <c r="AZ347">
        <f t="shared" si="146"/>
        <v>644.35339741670794</v>
      </c>
      <c r="BA347">
        <f t="shared" si="147"/>
        <v>-273.51178994249233</v>
      </c>
    </row>
    <row r="348" spans="9:53" x14ac:dyDescent="0.25">
      <c r="I348">
        <v>338</v>
      </c>
      <c r="J348">
        <f t="shared" si="150"/>
        <v>463.59192728339366</v>
      </c>
      <c r="K348">
        <f t="shared" si="151"/>
        <v>-187.30329670795618</v>
      </c>
      <c r="M348">
        <v>338</v>
      </c>
      <c r="N348">
        <f t="shared" si="152"/>
        <v>533.13071637590269</v>
      </c>
      <c r="O348">
        <f t="shared" si="153"/>
        <v>-215.39879121414961</v>
      </c>
      <c r="Q348">
        <f t="shared" si="154"/>
        <v>-112.3819780247737</v>
      </c>
      <c r="R348">
        <f t="shared" si="155"/>
        <v>278.1551563700362</v>
      </c>
      <c r="S348">
        <f t="shared" si="148"/>
        <v>-260.38197802477373</v>
      </c>
      <c r="T348">
        <f t="shared" si="149"/>
        <v>278.1551563700362</v>
      </c>
      <c r="V348">
        <f t="shared" si="156"/>
        <v>-112.3819780247737</v>
      </c>
      <c r="W348">
        <f t="shared" si="157"/>
        <v>278.1551563700362</v>
      </c>
      <c r="X348">
        <f t="shared" si="158"/>
        <v>-260.38197802477373</v>
      </c>
      <c r="Y348">
        <f t="shared" si="159"/>
        <v>278.1551563700362</v>
      </c>
      <c r="AA348">
        <v>338</v>
      </c>
      <c r="AB348">
        <f t="shared" si="160"/>
        <v>417.23273455505426</v>
      </c>
      <c r="AC348">
        <f t="shared" si="161"/>
        <v>-168.57296703716057</v>
      </c>
      <c r="AD348">
        <v>338</v>
      </c>
      <c r="AE348">
        <f t="shared" si="162"/>
        <v>602.66950546841178</v>
      </c>
      <c r="AF348">
        <f t="shared" si="163"/>
        <v>-243.49428572034302</v>
      </c>
      <c r="AV348">
        <v>338</v>
      </c>
      <c r="AW348">
        <f t="shared" si="164"/>
        <v>649.02869819675107</v>
      </c>
      <c r="AX348">
        <f t="shared" si="165"/>
        <v>-262.22461539113863</v>
      </c>
      <c r="AZ348">
        <f t="shared" si="146"/>
        <v>649.02869819675107</v>
      </c>
      <c r="BA348">
        <f t="shared" si="147"/>
        <v>-262.22461539113863</v>
      </c>
    </row>
    <row r="349" spans="9:53" x14ac:dyDescent="0.25">
      <c r="I349">
        <v>339</v>
      </c>
      <c r="J349">
        <f t="shared" si="150"/>
        <v>466.79021324860076</v>
      </c>
      <c r="K349">
        <f t="shared" si="151"/>
        <v>-179.18397477265037</v>
      </c>
      <c r="M349">
        <v>339</v>
      </c>
      <c r="N349">
        <f t="shared" si="152"/>
        <v>536.80874523589091</v>
      </c>
      <c r="O349">
        <f t="shared" si="153"/>
        <v>-206.06157098854794</v>
      </c>
      <c r="Q349">
        <f t="shared" si="154"/>
        <v>-107.51038486359023</v>
      </c>
      <c r="R349">
        <f t="shared" si="155"/>
        <v>280.07412794916047</v>
      </c>
      <c r="S349">
        <f t="shared" si="148"/>
        <v>-255.51038486359022</v>
      </c>
      <c r="T349">
        <f t="shared" si="149"/>
        <v>280.07412794916047</v>
      </c>
      <c r="V349">
        <f t="shared" si="156"/>
        <v>-107.51038486359023</v>
      </c>
      <c r="W349">
        <f t="shared" si="157"/>
        <v>280.07412794916047</v>
      </c>
      <c r="X349">
        <f t="shared" si="158"/>
        <v>-255.51038486359022</v>
      </c>
      <c r="Y349">
        <f t="shared" si="159"/>
        <v>280.07412794916047</v>
      </c>
      <c r="AA349">
        <v>339</v>
      </c>
      <c r="AB349">
        <f t="shared" si="160"/>
        <v>420.11119192374071</v>
      </c>
      <c r="AC349">
        <f t="shared" si="161"/>
        <v>-161.26557729538536</v>
      </c>
      <c r="AD349">
        <v>339</v>
      </c>
      <c r="AE349">
        <f t="shared" si="162"/>
        <v>606.827277223181</v>
      </c>
      <c r="AF349">
        <f t="shared" si="163"/>
        <v>-232.93916720444551</v>
      </c>
      <c r="AV349">
        <v>339</v>
      </c>
      <c r="AW349">
        <f t="shared" si="164"/>
        <v>653.50629854804106</v>
      </c>
      <c r="AX349">
        <f t="shared" si="165"/>
        <v>-250.85756468171053</v>
      </c>
      <c r="AZ349">
        <f t="shared" si="146"/>
        <v>653.50629854804106</v>
      </c>
      <c r="BA349">
        <f t="shared" si="147"/>
        <v>-250.85756468171053</v>
      </c>
    </row>
    <row r="350" spans="9:53" x14ac:dyDescent="0.25">
      <c r="I350">
        <v>340</v>
      </c>
      <c r="J350">
        <f t="shared" si="150"/>
        <v>469.84631039295419</v>
      </c>
      <c r="K350">
        <f t="shared" si="151"/>
        <v>-171.01007166283429</v>
      </c>
      <c r="M350">
        <v>340</v>
      </c>
      <c r="N350">
        <f t="shared" si="152"/>
        <v>540.32325695189729</v>
      </c>
      <c r="O350">
        <f t="shared" si="153"/>
        <v>-196.66158241225943</v>
      </c>
      <c r="Q350">
        <f t="shared" si="154"/>
        <v>-102.60604299770058</v>
      </c>
      <c r="R350">
        <f t="shared" si="155"/>
        <v>281.90778623577251</v>
      </c>
      <c r="S350">
        <f t="shared" si="148"/>
        <v>-250.60604299770057</v>
      </c>
      <c r="T350">
        <f t="shared" si="149"/>
        <v>281.90778623577251</v>
      </c>
      <c r="V350">
        <f t="shared" si="156"/>
        <v>-102.60604299770058</v>
      </c>
      <c r="W350">
        <f t="shared" si="157"/>
        <v>281.90778623577251</v>
      </c>
      <c r="X350">
        <f t="shared" si="158"/>
        <v>-250.60604299770057</v>
      </c>
      <c r="Y350">
        <f t="shared" si="159"/>
        <v>281.90778623577251</v>
      </c>
      <c r="AA350">
        <v>340</v>
      </c>
      <c r="AB350">
        <f t="shared" si="160"/>
        <v>422.86167935365881</v>
      </c>
      <c r="AC350">
        <f t="shared" si="161"/>
        <v>-153.90906449655088</v>
      </c>
      <c r="AD350">
        <v>340</v>
      </c>
      <c r="AE350">
        <f t="shared" si="162"/>
        <v>610.80020351084045</v>
      </c>
      <c r="AF350">
        <f t="shared" si="163"/>
        <v>-222.31309316168458</v>
      </c>
      <c r="AV350">
        <v>340</v>
      </c>
      <c r="AW350">
        <f t="shared" si="164"/>
        <v>657.78483455013588</v>
      </c>
      <c r="AX350">
        <f t="shared" si="165"/>
        <v>-239.41410032796801</v>
      </c>
      <c r="AZ350">
        <f t="shared" si="146"/>
        <v>657.78483455013588</v>
      </c>
      <c r="BA350">
        <f t="shared" si="147"/>
        <v>-239.41410032796801</v>
      </c>
    </row>
    <row r="351" spans="9:53" x14ac:dyDescent="0.25">
      <c r="I351">
        <v>341</v>
      </c>
      <c r="J351">
        <f t="shared" si="150"/>
        <v>472.75928779965824</v>
      </c>
      <c r="K351">
        <f t="shared" si="151"/>
        <v>-162.78407722857875</v>
      </c>
      <c r="M351">
        <v>341</v>
      </c>
      <c r="N351">
        <f t="shared" si="152"/>
        <v>543.67318096960696</v>
      </c>
      <c r="O351">
        <f t="shared" si="153"/>
        <v>-187.20168881286557</v>
      </c>
      <c r="Q351">
        <f t="shared" si="154"/>
        <v>-97.670446337147254</v>
      </c>
      <c r="R351">
        <f t="shared" si="155"/>
        <v>283.65557267979494</v>
      </c>
      <c r="S351">
        <f t="shared" si="148"/>
        <v>-245.67044633714727</v>
      </c>
      <c r="T351">
        <f t="shared" si="149"/>
        <v>283.65557267979494</v>
      </c>
      <c r="V351">
        <f t="shared" si="156"/>
        <v>-97.670446337147254</v>
      </c>
      <c r="W351">
        <f t="shared" si="157"/>
        <v>283.65557267979494</v>
      </c>
      <c r="X351">
        <f t="shared" si="158"/>
        <v>-245.67044633714727</v>
      </c>
      <c r="Y351">
        <f t="shared" si="159"/>
        <v>283.65557267979494</v>
      </c>
      <c r="AA351">
        <v>341</v>
      </c>
      <c r="AB351">
        <f t="shared" si="160"/>
        <v>425.48335901969244</v>
      </c>
      <c r="AC351">
        <f t="shared" si="161"/>
        <v>-146.5056695057209</v>
      </c>
      <c r="AD351">
        <v>341</v>
      </c>
      <c r="AE351">
        <f t="shared" si="162"/>
        <v>614.58707413955574</v>
      </c>
      <c r="AF351">
        <f t="shared" si="163"/>
        <v>-211.61930039715239</v>
      </c>
      <c r="AV351">
        <v>341</v>
      </c>
      <c r="AW351">
        <f t="shared" si="164"/>
        <v>661.86300291952159</v>
      </c>
      <c r="AX351">
        <f t="shared" si="165"/>
        <v>-227.89770812001026</v>
      </c>
      <c r="AZ351">
        <f t="shared" si="146"/>
        <v>661.86300291952159</v>
      </c>
      <c r="BA351">
        <f t="shared" si="147"/>
        <v>-227.89770812001026</v>
      </c>
    </row>
    <row r="352" spans="9:53" x14ac:dyDescent="0.25">
      <c r="I352">
        <v>342</v>
      </c>
      <c r="J352">
        <f t="shared" si="150"/>
        <v>475.52825814757676</v>
      </c>
      <c r="K352">
        <f t="shared" si="151"/>
        <v>-154.50849718747381</v>
      </c>
      <c r="M352">
        <v>342</v>
      </c>
      <c r="N352">
        <f t="shared" si="152"/>
        <v>546.85749686971326</v>
      </c>
      <c r="O352">
        <f t="shared" si="153"/>
        <v>-177.68477176559489</v>
      </c>
      <c r="Q352">
        <f t="shared" si="154"/>
        <v>-92.705098312484282</v>
      </c>
      <c r="R352">
        <f t="shared" si="155"/>
        <v>285.31695488854604</v>
      </c>
      <c r="S352">
        <f t="shared" si="148"/>
        <v>-240.70509831248427</v>
      </c>
      <c r="T352">
        <f t="shared" si="149"/>
        <v>285.31695488854604</v>
      </c>
      <c r="V352">
        <f t="shared" si="156"/>
        <v>-92.705098312484282</v>
      </c>
      <c r="W352">
        <f t="shared" si="157"/>
        <v>285.31695488854604</v>
      </c>
      <c r="X352">
        <f t="shared" si="158"/>
        <v>-240.70509831248427</v>
      </c>
      <c r="Y352">
        <f t="shared" si="159"/>
        <v>285.31695488854604</v>
      </c>
      <c r="AA352">
        <v>342</v>
      </c>
      <c r="AB352">
        <f t="shared" si="160"/>
        <v>427.97543233281908</v>
      </c>
      <c r="AC352">
        <f t="shared" si="161"/>
        <v>-139.05764746872643</v>
      </c>
      <c r="AD352">
        <v>342</v>
      </c>
      <c r="AE352">
        <f t="shared" si="162"/>
        <v>618.18673559184981</v>
      </c>
      <c r="AF352">
        <f t="shared" si="163"/>
        <v>-200.86104634371594</v>
      </c>
      <c r="AV352">
        <v>342</v>
      </c>
      <c r="AW352">
        <f t="shared" si="164"/>
        <v>665.73956140660744</v>
      </c>
      <c r="AX352">
        <f t="shared" si="165"/>
        <v>-216.31189606246332</v>
      </c>
      <c r="AZ352">
        <f t="shared" si="146"/>
        <v>665.73956140660744</v>
      </c>
      <c r="BA352">
        <f t="shared" si="147"/>
        <v>-216.31189606246332</v>
      </c>
    </row>
    <row r="353" spans="9:53" x14ac:dyDescent="0.25">
      <c r="I353">
        <v>343</v>
      </c>
      <c r="J353">
        <f t="shared" si="150"/>
        <v>478.15237798151782</v>
      </c>
      <c r="K353">
        <f t="shared" si="151"/>
        <v>-146.18585236136815</v>
      </c>
      <c r="M353">
        <v>343</v>
      </c>
      <c r="N353">
        <f t="shared" si="152"/>
        <v>549.87523467874553</v>
      </c>
      <c r="O353">
        <f t="shared" si="153"/>
        <v>-168.11373021557336</v>
      </c>
      <c r="Q353">
        <f t="shared" si="154"/>
        <v>-87.711511416820883</v>
      </c>
      <c r="R353">
        <f t="shared" si="155"/>
        <v>286.89142678891068</v>
      </c>
      <c r="S353">
        <f t="shared" si="148"/>
        <v>-235.71151141682088</v>
      </c>
      <c r="T353">
        <f t="shared" si="149"/>
        <v>286.89142678891068</v>
      </c>
      <c r="V353">
        <f t="shared" si="156"/>
        <v>-87.711511416820883</v>
      </c>
      <c r="W353">
        <f t="shared" si="157"/>
        <v>286.89142678891068</v>
      </c>
      <c r="X353">
        <f t="shared" si="158"/>
        <v>-235.71151141682088</v>
      </c>
      <c r="Y353">
        <f t="shared" si="159"/>
        <v>286.89142678891068</v>
      </c>
      <c r="AA353">
        <v>343</v>
      </c>
      <c r="AB353">
        <f t="shared" si="160"/>
        <v>430.33714018336605</v>
      </c>
      <c r="AC353">
        <f t="shared" si="161"/>
        <v>-131.56726712523133</v>
      </c>
      <c r="AD353">
        <v>343</v>
      </c>
      <c r="AE353">
        <f t="shared" si="162"/>
        <v>621.59809137597313</v>
      </c>
      <c r="AF353">
        <f t="shared" si="163"/>
        <v>-190.04160806977856</v>
      </c>
      <c r="AV353">
        <v>343</v>
      </c>
      <c r="AW353">
        <f t="shared" si="164"/>
        <v>669.41332917412501</v>
      </c>
      <c r="AX353">
        <f t="shared" si="165"/>
        <v>-204.66019330591539</v>
      </c>
      <c r="AZ353">
        <f t="shared" si="146"/>
        <v>669.41332917412501</v>
      </c>
      <c r="BA353">
        <f t="shared" si="147"/>
        <v>-204.66019330591539</v>
      </c>
    </row>
    <row r="354" spans="9:53" x14ac:dyDescent="0.25">
      <c r="I354">
        <v>344</v>
      </c>
      <c r="J354">
        <f t="shared" si="150"/>
        <v>480.63084796915933</v>
      </c>
      <c r="K354">
        <f t="shared" si="151"/>
        <v>-137.81867790849989</v>
      </c>
      <c r="M354">
        <v>344</v>
      </c>
      <c r="N354">
        <f t="shared" si="152"/>
        <v>552.72547516453324</v>
      </c>
      <c r="O354">
        <f t="shared" si="153"/>
        <v>-158.49147959477486</v>
      </c>
      <c r="Q354">
        <f t="shared" si="154"/>
        <v>-82.691206745099933</v>
      </c>
      <c r="R354">
        <f t="shared" si="155"/>
        <v>288.37850878149561</v>
      </c>
      <c r="S354">
        <f t="shared" si="148"/>
        <v>-230.69120674509992</v>
      </c>
      <c r="T354">
        <f t="shared" si="149"/>
        <v>288.37850878149561</v>
      </c>
      <c r="V354">
        <f t="shared" si="156"/>
        <v>-82.691206745099933</v>
      </c>
      <c r="W354">
        <f t="shared" si="157"/>
        <v>288.37850878149561</v>
      </c>
      <c r="X354">
        <f t="shared" si="158"/>
        <v>-230.69120674509992</v>
      </c>
      <c r="Y354">
        <f t="shared" si="159"/>
        <v>288.37850878149561</v>
      </c>
      <c r="AA354">
        <v>344</v>
      </c>
      <c r="AB354">
        <f t="shared" si="160"/>
        <v>432.56776317224342</v>
      </c>
      <c r="AC354">
        <f t="shared" si="161"/>
        <v>-124.03681011764989</v>
      </c>
      <c r="AD354">
        <v>344</v>
      </c>
      <c r="AE354">
        <f t="shared" si="162"/>
        <v>624.82010235990708</v>
      </c>
      <c r="AF354">
        <f t="shared" si="163"/>
        <v>-179.16428128104985</v>
      </c>
      <c r="AV354">
        <v>344</v>
      </c>
      <c r="AW354">
        <f t="shared" si="164"/>
        <v>672.88318715682306</v>
      </c>
      <c r="AX354">
        <f t="shared" si="165"/>
        <v>-192.94614907189984</v>
      </c>
      <c r="AZ354">
        <f t="shared" si="146"/>
        <v>672.88318715682306</v>
      </c>
      <c r="BA354">
        <f t="shared" si="147"/>
        <v>-192.94614907189984</v>
      </c>
    </row>
    <row r="355" spans="9:53" x14ac:dyDescent="0.25">
      <c r="I355">
        <v>345</v>
      </c>
      <c r="J355">
        <f t="shared" si="150"/>
        <v>482.96291314453418</v>
      </c>
      <c r="K355">
        <f t="shared" si="151"/>
        <v>-129.40952255126035</v>
      </c>
      <c r="M355">
        <v>345</v>
      </c>
      <c r="N355">
        <f t="shared" si="152"/>
        <v>555.40735011621427</v>
      </c>
      <c r="O355">
        <f t="shared" si="153"/>
        <v>-148.8209509339494</v>
      </c>
      <c r="Q355">
        <f t="shared" si="154"/>
        <v>-77.645713530756211</v>
      </c>
      <c r="R355">
        <f t="shared" si="155"/>
        <v>289.77774788672048</v>
      </c>
      <c r="S355">
        <f t="shared" si="148"/>
        <v>-225.64571353075621</v>
      </c>
      <c r="T355">
        <f t="shared" si="149"/>
        <v>289.77774788672048</v>
      </c>
      <c r="V355">
        <f t="shared" si="156"/>
        <v>-77.645713530756211</v>
      </c>
      <c r="W355">
        <f t="shared" si="157"/>
        <v>289.77774788672048</v>
      </c>
      <c r="X355">
        <f t="shared" si="158"/>
        <v>-225.64571353075621</v>
      </c>
      <c r="Y355">
        <f t="shared" si="159"/>
        <v>289.77774788672048</v>
      </c>
      <c r="AA355">
        <v>345</v>
      </c>
      <c r="AB355">
        <f t="shared" si="160"/>
        <v>434.66662183008071</v>
      </c>
      <c r="AC355">
        <f t="shared" si="161"/>
        <v>-116.4685702961343</v>
      </c>
      <c r="AD355">
        <v>345</v>
      </c>
      <c r="AE355">
        <f t="shared" si="162"/>
        <v>627.85178708789442</v>
      </c>
      <c r="AF355">
        <f t="shared" si="163"/>
        <v>-168.23237931663846</v>
      </c>
      <c r="AV355">
        <v>345</v>
      </c>
      <c r="AW355">
        <f t="shared" si="164"/>
        <v>676.14807840234778</v>
      </c>
      <c r="AX355">
        <f t="shared" si="165"/>
        <v>-181.17333157176449</v>
      </c>
      <c r="AZ355">
        <f t="shared" si="146"/>
        <v>676.14807840234778</v>
      </c>
      <c r="BA355">
        <f t="shared" si="147"/>
        <v>-181.17333157176449</v>
      </c>
    </row>
    <row r="356" spans="9:53" x14ac:dyDescent="0.25">
      <c r="I356">
        <v>346</v>
      </c>
      <c r="J356">
        <f t="shared" si="150"/>
        <v>485.14786313799823</v>
      </c>
      <c r="K356">
        <f t="shared" si="151"/>
        <v>-120.96094779983393</v>
      </c>
      <c r="M356">
        <v>346</v>
      </c>
      <c r="N356">
        <f t="shared" si="152"/>
        <v>557.92004260869794</v>
      </c>
      <c r="O356">
        <f t="shared" si="153"/>
        <v>-139.10508996980903</v>
      </c>
      <c r="Q356">
        <f t="shared" si="154"/>
        <v>-72.576568679900362</v>
      </c>
      <c r="R356">
        <f t="shared" si="155"/>
        <v>291.08871788279896</v>
      </c>
      <c r="S356">
        <f t="shared" si="148"/>
        <v>-220.57656867990036</v>
      </c>
      <c r="T356">
        <f t="shared" si="149"/>
        <v>291.08871788279896</v>
      </c>
      <c r="V356">
        <f t="shared" si="156"/>
        <v>-72.576568679900362</v>
      </c>
      <c r="W356">
        <f t="shared" si="157"/>
        <v>291.08871788279896</v>
      </c>
      <c r="X356">
        <f t="shared" si="158"/>
        <v>-220.57656867990036</v>
      </c>
      <c r="Y356">
        <f t="shared" si="159"/>
        <v>291.08871788279896</v>
      </c>
      <c r="AA356">
        <v>346</v>
      </c>
      <c r="AB356">
        <f t="shared" si="160"/>
        <v>436.63307682419844</v>
      </c>
      <c r="AC356">
        <f t="shared" si="161"/>
        <v>-108.86485301985054</v>
      </c>
      <c r="AD356">
        <v>346</v>
      </c>
      <c r="AE356">
        <f t="shared" si="162"/>
        <v>630.69222207939765</v>
      </c>
      <c r="AF356">
        <f t="shared" si="163"/>
        <v>-157.24923213978411</v>
      </c>
      <c r="AV356">
        <v>346</v>
      </c>
      <c r="AW356">
        <f t="shared" si="164"/>
        <v>679.2070083931975</v>
      </c>
      <c r="AX356">
        <f t="shared" si="165"/>
        <v>-169.3453269197675</v>
      </c>
      <c r="AZ356">
        <f t="shared" si="146"/>
        <v>679.2070083931975</v>
      </c>
      <c r="BA356">
        <f t="shared" si="147"/>
        <v>-169.3453269197675</v>
      </c>
    </row>
    <row r="357" spans="9:53" x14ac:dyDescent="0.25">
      <c r="I357">
        <v>347</v>
      </c>
      <c r="J357">
        <f t="shared" si="150"/>
        <v>487.18503239261759</v>
      </c>
      <c r="K357">
        <f t="shared" si="151"/>
        <v>-112.47552717193267</v>
      </c>
      <c r="M357">
        <v>347</v>
      </c>
      <c r="N357">
        <f t="shared" si="152"/>
        <v>560.26278725151019</v>
      </c>
      <c r="O357">
        <f t="shared" si="153"/>
        <v>-129.34685624772257</v>
      </c>
      <c r="Q357">
        <f t="shared" si="154"/>
        <v>-67.485316303159607</v>
      </c>
      <c r="R357">
        <f t="shared" si="155"/>
        <v>292.31101943557053</v>
      </c>
      <c r="S357">
        <f t="shared" si="148"/>
        <v>-215.48531630315961</v>
      </c>
      <c r="T357">
        <f t="shared" si="149"/>
        <v>292.31101943557053</v>
      </c>
      <c r="V357">
        <f t="shared" si="156"/>
        <v>-67.485316303159607</v>
      </c>
      <c r="W357">
        <f t="shared" si="157"/>
        <v>292.31101943557053</v>
      </c>
      <c r="X357">
        <f t="shared" si="158"/>
        <v>-215.48531630315961</v>
      </c>
      <c r="Y357">
        <f t="shared" si="159"/>
        <v>292.31101943557053</v>
      </c>
      <c r="AA357">
        <v>347</v>
      </c>
      <c r="AB357">
        <f t="shared" si="160"/>
        <v>438.46652915335579</v>
      </c>
      <c r="AC357">
        <f t="shared" si="161"/>
        <v>-101.2279744547394</v>
      </c>
      <c r="AD357">
        <v>347</v>
      </c>
      <c r="AE357">
        <f t="shared" si="162"/>
        <v>633.34054211040279</v>
      </c>
      <c r="AF357">
        <f t="shared" si="163"/>
        <v>-146.21818532351247</v>
      </c>
      <c r="AV357">
        <v>347</v>
      </c>
      <c r="AW357">
        <f t="shared" si="164"/>
        <v>682.05904534966464</v>
      </c>
      <c r="AX357">
        <f t="shared" si="165"/>
        <v>-157.46573804070573</v>
      </c>
      <c r="AZ357">
        <f t="shared" si="146"/>
        <v>682.05904534966464</v>
      </c>
      <c r="BA357">
        <f t="shared" si="147"/>
        <v>-157.46573804070573</v>
      </c>
    </row>
    <row r="358" spans="9:53" x14ac:dyDescent="0.25">
      <c r="I358">
        <v>348</v>
      </c>
      <c r="J358">
        <f t="shared" si="150"/>
        <v>489.07380036690279</v>
      </c>
      <c r="K358">
        <f t="shared" si="151"/>
        <v>-103.95584540887994</v>
      </c>
      <c r="M358">
        <v>348</v>
      </c>
      <c r="N358">
        <f t="shared" si="152"/>
        <v>562.43487042193817</v>
      </c>
      <c r="O358">
        <f t="shared" si="153"/>
        <v>-119.54922222021193</v>
      </c>
      <c r="Q358">
        <f t="shared" si="154"/>
        <v>-62.373507245327964</v>
      </c>
      <c r="R358">
        <f t="shared" si="155"/>
        <v>293.44428022014165</v>
      </c>
      <c r="S358">
        <f t="shared" si="148"/>
        <v>-210.37350724532797</v>
      </c>
      <c r="T358">
        <f t="shared" si="149"/>
        <v>293.44428022014165</v>
      </c>
      <c r="V358">
        <f t="shared" si="156"/>
        <v>-62.373507245327964</v>
      </c>
      <c r="W358">
        <f t="shared" si="157"/>
        <v>293.44428022014165</v>
      </c>
      <c r="X358">
        <f t="shared" si="158"/>
        <v>-210.37350724532797</v>
      </c>
      <c r="Y358">
        <f t="shared" si="159"/>
        <v>293.44428022014165</v>
      </c>
      <c r="AA358">
        <v>348</v>
      </c>
      <c r="AB358">
        <f t="shared" si="160"/>
        <v>440.16642033021253</v>
      </c>
      <c r="AC358">
        <f t="shared" si="161"/>
        <v>-93.560260867991943</v>
      </c>
      <c r="AD358">
        <v>348</v>
      </c>
      <c r="AE358">
        <f t="shared" si="162"/>
        <v>635.79594047697367</v>
      </c>
      <c r="AF358">
        <f t="shared" si="163"/>
        <v>-135.14259903154391</v>
      </c>
      <c r="AV358">
        <v>348</v>
      </c>
      <c r="AW358">
        <f t="shared" si="164"/>
        <v>684.70332051366393</v>
      </c>
      <c r="AX358">
        <f t="shared" si="165"/>
        <v>-145.5381835724319</v>
      </c>
      <c r="AZ358">
        <f t="shared" si="146"/>
        <v>684.70332051366393</v>
      </c>
      <c r="BA358">
        <f t="shared" si="147"/>
        <v>-145.5381835724319</v>
      </c>
    </row>
    <row r="359" spans="9:53" x14ac:dyDescent="0.25">
      <c r="I359">
        <v>349</v>
      </c>
      <c r="J359">
        <f t="shared" si="150"/>
        <v>490.81359172383196</v>
      </c>
      <c r="K359">
        <f t="shared" si="151"/>
        <v>-95.404497688272329</v>
      </c>
      <c r="M359">
        <v>349</v>
      </c>
      <c r="N359">
        <f t="shared" si="152"/>
        <v>564.43563048240674</v>
      </c>
      <c r="O359">
        <f t="shared" si="153"/>
        <v>-109.71517234151318</v>
      </c>
      <c r="Q359">
        <f t="shared" si="154"/>
        <v>-57.242698612963402</v>
      </c>
      <c r="R359">
        <f t="shared" si="155"/>
        <v>294.48815503429921</v>
      </c>
      <c r="S359">
        <f t="shared" si="148"/>
        <v>-205.24269861296341</v>
      </c>
      <c r="T359">
        <f t="shared" si="149"/>
        <v>294.48815503429921</v>
      </c>
      <c r="V359">
        <f t="shared" si="156"/>
        <v>-57.242698612963402</v>
      </c>
      <c r="W359">
        <f t="shared" si="157"/>
        <v>294.48815503429921</v>
      </c>
      <c r="X359">
        <f t="shared" si="158"/>
        <v>-205.24269861296341</v>
      </c>
      <c r="Y359">
        <f t="shared" si="159"/>
        <v>294.48815503429921</v>
      </c>
      <c r="AA359">
        <v>349</v>
      </c>
      <c r="AB359">
        <f t="shared" si="160"/>
        <v>441.73223255144882</v>
      </c>
      <c r="AC359">
        <f t="shared" si="161"/>
        <v>-85.864047919445099</v>
      </c>
      <c r="AD359">
        <v>349</v>
      </c>
      <c r="AE359">
        <f t="shared" si="162"/>
        <v>638.05766924098157</v>
      </c>
      <c r="AF359">
        <f t="shared" si="163"/>
        <v>-124.02584699475403</v>
      </c>
      <c r="AV359">
        <v>349</v>
      </c>
      <c r="AW359">
        <f t="shared" si="164"/>
        <v>687.13902841336483</v>
      </c>
      <c r="AX359">
        <f t="shared" si="165"/>
        <v>-133.56629676358128</v>
      </c>
      <c r="AZ359">
        <f t="shared" si="146"/>
        <v>687.13902841336483</v>
      </c>
      <c r="BA359">
        <f t="shared" si="147"/>
        <v>-133.56629676358128</v>
      </c>
    </row>
    <row r="360" spans="9:53" x14ac:dyDescent="0.25">
      <c r="I360">
        <v>350</v>
      </c>
      <c r="J360">
        <f t="shared" si="150"/>
        <v>492.40387650610393</v>
      </c>
      <c r="K360">
        <f t="shared" si="151"/>
        <v>-86.824088833465638</v>
      </c>
      <c r="M360">
        <v>350</v>
      </c>
      <c r="N360">
        <f t="shared" si="152"/>
        <v>566.26445798201951</v>
      </c>
      <c r="O360">
        <f t="shared" si="153"/>
        <v>-99.84770215848549</v>
      </c>
      <c r="Q360">
        <f t="shared" si="154"/>
        <v>-52.09445330007938</v>
      </c>
      <c r="R360">
        <f t="shared" si="155"/>
        <v>295.44232590366238</v>
      </c>
      <c r="S360">
        <f t="shared" si="148"/>
        <v>-200.09445330007938</v>
      </c>
      <c r="T360">
        <f t="shared" si="149"/>
        <v>295.44232590366238</v>
      </c>
      <c r="V360">
        <f t="shared" si="156"/>
        <v>-52.09445330007938</v>
      </c>
      <c r="W360">
        <f t="shared" si="157"/>
        <v>295.44232590366238</v>
      </c>
      <c r="X360">
        <f t="shared" si="158"/>
        <v>-200.09445330007938</v>
      </c>
      <c r="Y360">
        <f t="shared" si="159"/>
        <v>295.44232590366238</v>
      </c>
      <c r="AA360">
        <v>350</v>
      </c>
      <c r="AB360">
        <f t="shared" si="160"/>
        <v>443.16348885549354</v>
      </c>
      <c r="AC360">
        <f t="shared" si="161"/>
        <v>-78.14167995011907</v>
      </c>
      <c r="AD360">
        <v>350</v>
      </c>
      <c r="AE360">
        <f t="shared" si="162"/>
        <v>640.12503945793515</v>
      </c>
      <c r="AF360">
        <f t="shared" si="163"/>
        <v>-112.87131548350533</v>
      </c>
      <c r="AV360">
        <v>350</v>
      </c>
      <c r="AW360">
        <f t="shared" si="164"/>
        <v>689.36542710854553</v>
      </c>
      <c r="AX360">
        <f t="shared" si="165"/>
        <v>-121.5537243668519</v>
      </c>
      <c r="AZ360">
        <f t="shared" si="146"/>
        <v>689.36542710854553</v>
      </c>
      <c r="BA360">
        <f t="shared" si="147"/>
        <v>-121.5537243668519</v>
      </c>
    </row>
    <row r="361" spans="9:53" x14ac:dyDescent="0.25">
      <c r="I361">
        <v>351</v>
      </c>
      <c r="J361">
        <f t="shared" si="150"/>
        <v>493.84417029756884</v>
      </c>
      <c r="K361">
        <f t="shared" si="151"/>
        <v>-78.217232520115559</v>
      </c>
      <c r="M361">
        <v>351</v>
      </c>
      <c r="N361">
        <f t="shared" si="152"/>
        <v>567.92079584220414</v>
      </c>
      <c r="O361">
        <f t="shared" si="153"/>
        <v>-89.949817398132893</v>
      </c>
      <c r="Q361">
        <f t="shared" si="154"/>
        <v>-46.930339512069338</v>
      </c>
      <c r="R361">
        <f t="shared" si="155"/>
        <v>296.30650217854128</v>
      </c>
      <c r="S361">
        <f t="shared" si="148"/>
        <v>-194.93033951206934</v>
      </c>
      <c r="T361">
        <f t="shared" si="149"/>
        <v>296.30650217854128</v>
      </c>
      <c r="V361">
        <f t="shared" si="156"/>
        <v>-46.930339512069338</v>
      </c>
      <c r="W361">
        <f t="shared" si="157"/>
        <v>296.30650217854128</v>
      </c>
      <c r="X361">
        <f t="shared" si="158"/>
        <v>-194.93033951206934</v>
      </c>
      <c r="Y361">
        <f t="shared" si="159"/>
        <v>296.30650217854128</v>
      </c>
      <c r="AA361">
        <v>351</v>
      </c>
      <c r="AB361">
        <f t="shared" si="160"/>
        <v>444.45975326781195</v>
      </c>
      <c r="AC361">
        <f t="shared" si="161"/>
        <v>-70.395509268104007</v>
      </c>
      <c r="AD361">
        <v>351</v>
      </c>
      <c r="AE361">
        <f t="shared" si="162"/>
        <v>641.99742138683951</v>
      </c>
      <c r="AF361">
        <f t="shared" si="163"/>
        <v>-101.68240227615023</v>
      </c>
      <c r="AV361">
        <v>351</v>
      </c>
      <c r="AW361">
        <f t="shared" si="164"/>
        <v>691.38183841659634</v>
      </c>
      <c r="AX361">
        <f t="shared" si="165"/>
        <v>-109.50412552816178</v>
      </c>
      <c r="AZ361">
        <f t="shared" si="146"/>
        <v>691.38183841659634</v>
      </c>
      <c r="BA361">
        <f t="shared" si="147"/>
        <v>-109.50412552816178</v>
      </c>
    </row>
    <row r="362" spans="9:53" x14ac:dyDescent="0.25">
      <c r="I362">
        <v>352</v>
      </c>
      <c r="J362">
        <f t="shared" si="150"/>
        <v>495.13403437078512</v>
      </c>
      <c r="K362">
        <f t="shared" si="151"/>
        <v>-69.58655048003294</v>
      </c>
      <c r="M362">
        <v>352</v>
      </c>
      <c r="N362">
        <f t="shared" si="152"/>
        <v>569.4041395264029</v>
      </c>
      <c r="O362">
        <f t="shared" si="153"/>
        <v>-80.024533052037881</v>
      </c>
      <c r="Q362">
        <f t="shared" si="154"/>
        <v>-41.751930288019764</v>
      </c>
      <c r="R362">
        <f t="shared" si="155"/>
        <v>297.08042062247108</v>
      </c>
      <c r="S362">
        <f t="shared" si="148"/>
        <v>-189.75193028801976</v>
      </c>
      <c r="T362">
        <f t="shared" si="149"/>
        <v>297.08042062247108</v>
      </c>
      <c r="V362">
        <f t="shared" si="156"/>
        <v>-41.751930288019764</v>
      </c>
      <c r="W362">
        <f t="shared" si="157"/>
        <v>297.08042062247108</v>
      </c>
      <c r="X362">
        <f t="shared" si="158"/>
        <v>-189.75193028801976</v>
      </c>
      <c r="Y362">
        <f t="shared" si="159"/>
        <v>297.08042062247108</v>
      </c>
      <c r="AA362">
        <v>352</v>
      </c>
      <c r="AB362">
        <f t="shared" si="160"/>
        <v>445.62063093370659</v>
      </c>
      <c r="AC362">
        <f t="shared" si="161"/>
        <v>-62.627895432029646</v>
      </c>
      <c r="AD362">
        <v>352</v>
      </c>
      <c r="AE362">
        <f t="shared" si="162"/>
        <v>643.67424468202069</v>
      </c>
      <c r="AF362">
        <f t="shared" si="163"/>
        <v>-90.462515624042823</v>
      </c>
      <c r="AV362">
        <v>352</v>
      </c>
      <c r="AW362">
        <f t="shared" si="164"/>
        <v>693.18764811909921</v>
      </c>
      <c r="AX362">
        <f t="shared" si="165"/>
        <v>-97.421170672046117</v>
      </c>
      <c r="AZ362">
        <f t="shared" si="146"/>
        <v>693.18764811909921</v>
      </c>
      <c r="BA362">
        <f t="shared" si="147"/>
        <v>-97.421170672046117</v>
      </c>
    </row>
    <row r="363" spans="9:53" x14ac:dyDescent="0.25">
      <c r="I363">
        <v>353</v>
      </c>
      <c r="J363">
        <f t="shared" si="150"/>
        <v>496.27307582066101</v>
      </c>
      <c r="K363">
        <f t="shared" si="151"/>
        <v>-60.934671702574057</v>
      </c>
      <c r="M363">
        <v>353</v>
      </c>
      <c r="N363">
        <f t="shared" si="152"/>
        <v>570.71403719376019</v>
      </c>
      <c r="O363">
        <f t="shared" si="153"/>
        <v>-70.074872457960169</v>
      </c>
      <c r="Q363">
        <f t="shared" si="154"/>
        <v>-36.560803021544437</v>
      </c>
      <c r="R363">
        <f t="shared" si="155"/>
        <v>297.76384549239657</v>
      </c>
      <c r="S363">
        <f t="shared" si="148"/>
        <v>-184.56080302154444</v>
      </c>
      <c r="T363">
        <f t="shared" si="149"/>
        <v>297.76384549239657</v>
      </c>
      <c r="V363">
        <f t="shared" si="156"/>
        <v>-36.560803021544437</v>
      </c>
      <c r="W363">
        <f t="shared" si="157"/>
        <v>297.76384549239657</v>
      </c>
      <c r="X363">
        <f t="shared" si="158"/>
        <v>-184.56080302154444</v>
      </c>
      <c r="Y363">
        <f t="shared" si="159"/>
        <v>297.76384549239657</v>
      </c>
      <c r="AA363">
        <v>353</v>
      </c>
      <c r="AB363">
        <f t="shared" si="160"/>
        <v>446.64576823859488</v>
      </c>
      <c r="AC363">
        <f t="shared" si="161"/>
        <v>-54.841204532316652</v>
      </c>
      <c r="AD363">
        <v>353</v>
      </c>
      <c r="AE363">
        <f t="shared" si="162"/>
        <v>645.15499856685926</v>
      </c>
      <c r="AF363">
        <f t="shared" si="163"/>
        <v>-79.215073213346272</v>
      </c>
      <c r="AV363">
        <v>353</v>
      </c>
      <c r="AW363">
        <f t="shared" si="164"/>
        <v>694.78230614892539</v>
      </c>
      <c r="AX363">
        <f t="shared" si="165"/>
        <v>-85.308540383603685</v>
      </c>
      <c r="AZ363">
        <f t="shared" si="146"/>
        <v>694.78230614892539</v>
      </c>
      <c r="BA363">
        <f t="shared" si="147"/>
        <v>-85.308540383603685</v>
      </c>
    </row>
    <row r="364" spans="9:53" x14ac:dyDescent="0.25">
      <c r="I364">
        <v>354</v>
      </c>
      <c r="J364">
        <f t="shared" si="150"/>
        <v>497.26094768413662</v>
      </c>
      <c r="K364">
        <f t="shared" si="151"/>
        <v>-52.264231633826711</v>
      </c>
      <c r="M364">
        <v>354</v>
      </c>
      <c r="N364">
        <f t="shared" si="152"/>
        <v>571.85008983675709</v>
      </c>
      <c r="O364">
        <f t="shared" si="153"/>
        <v>-60.103866378900712</v>
      </c>
      <c r="Q364">
        <f t="shared" si="154"/>
        <v>-31.358538980296025</v>
      </c>
      <c r="R364">
        <f t="shared" si="155"/>
        <v>298.35656861048199</v>
      </c>
      <c r="S364">
        <f t="shared" si="148"/>
        <v>-179.35853898029603</v>
      </c>
      <c r="T364">
        <f t="shared" si="149"/>
        <v>298.35656861048199</v>
      </c>
      <c r="V364">
        <f t="shared" si="156"/>
        <v>-31.358538980296025</v>
      </c>
      <c r="W364">
        <f t="shared" si="157"/>
        <v>298.35656861048199</v>
      </c>
      <c r="X364">
        <f t="shared" si="158"/>
        <v>-179.35853898029603</v>
      </c>
      <c r="Y364">
        <f t="shared" si="159"/>
        <v>298.35656861048199</v>
      </c>
      <c r="AA364">
        <v>354</v>
      </c>
      <c r="AB364">
        <f t="shared" si="160"/>
        <v>447.53485291572298</v>
      </c>
      <c r="AC364">
        <f t="shared" si="161"/>
        <v>-47.037808470444034</v>
      </c>
      <c r="AD364">
        <v>354</v>
      </c>
      <c r="AE364">
        <f t="shared" si="162"/>
        <v>646.43923198937762</v>
      </c>
      <c r="AF364">
        <f t="shared" si="163"/>
        <v>-67.943501123974727</v>
      </c>
      <c r="AV364">
        <v>354</v>
      </c>
      <c r="AW364">
        <f t="shared" si="164"/>
        <v>696.16532675779126</v>
      </c>
      <c r="AX364">
        <f t="shared" si="165"/>
        <v>-73.169924287357389</v>
      </c>
      <c r="AZ364">
        <f t="shared" si="146"/>
        <v>696.16532675779126</v>
      </c>
      <c r="BA364">
        <f t="shared" si="147"/>
        <v>-73.169924287357389</v>
      </c>
    </row>
    <row r="365" spans="9:53" x14ac:dyDescent="0.25">
      <c r="I365">
        <v>355</v>
      </c>
      <c r="J365">
        <f t="shared" si="150"/>
        <v>498.09734904587276</v>
      </c>
      <c r="K365">
        <f t="shared" si="151"/>
        <v>-43.577871373829161</v>
      </c>
      <c r="M365">
        <v>355</v>
      </c>
      <c r="N365">
        <f t="shared" si="152"/>
        <v>572.81195140275372</v>
      </c>
      <c r="O365">
        <f t="shared" si="153"/>
        <v>-50.114552079903532</v>
      </c>
      <c r="Q365">
        <f t="shared" si="154"/>
        <v>-26.146722824297495</v>
      </c>
      <c r="R365">
        <f t="shared" si="155"/>
        <v>298.85840942752367</v>
      </c>
      <c r="S365">
        <f t="shared" si="148"/>
        <v>-174.14672282429748</v>
      </c>
      <c r="T365">
        <f t="shared" si="149"/>
        <v>298.85840942752367</v>
      </c>
      <c r="V365">
        <f t="shared" si="156"/>
        <v>-26.146722824297495</v>
      </c>
      <c r="W365">
        <f t="shared" si="157"/>
        <v>298.85840942752367</v>
      </c>
      <c r="X365">
        <f t="shared" si="158"/>
        <v>-174.14672282429748</v>
      </c>
      <c r="Y365">
        <f t="shared" si="159"/>
        <v>298.85840942752367</v>
      </c>
      <c r="AA365">
        <v>355</v>
      </c>
      <c r="AB365">
        <f t="shared" si="160"/>
        <v>448.28761414128547</v>
      </c>
      <c r="AC365">
        <f t="shared" si="161"/>
        <v>-39.22008423644624</v>
      </c>
      <c r="AD365">
        <v>355</v>
      </c>
      <c r="AE365">
        <f t="shared" si="162"/>
        <v>647.52655375963457</v>
      </c>
      <c r="AF365">
        <f t="shared" si="163"/>
        <v>-56.651232785977911</v>
      </c>
      <c r="AV365">
        <v>355</v>
      </c>
      <c r="AW365">
        <f t="shared" si="164"/>
        <v>697.33628866422191</v>
      </c>
      <c r="AX365">
        <f t="shared" si="165"/>
        <v>-61.009019923360825</v>
      </c>
      <c r="AZ365">
        <f t="shared" si="146"/>
        <v>697.33628866422191</v>
      </c>
      <c r="BA365">
        <f t="shared" si="147"/>
        <v>-61.009019923360825</v>
      </c>
    </row>
    <row r="366" spans="9:53" x14ac:dyDescent="0.25">
      <c r="I366">
        <v>356</v>
      </c>
      <c r="J366">
        <f t="shared" si="150"/>
        <v>498.78202512991214</v>
      </c>
      <c r="K366">
        <f t="shared" si="151"/>
        <v>-34.878236872062381</v>
      </c>
      <c r="M366">
        <v>356</v>
      </c>
      <c r="N366">
        <f t="shared" si="152"/>
        <v>573.59932889939898</v>
      </c>
      <c r="O366">
        <f t="shared" si="153"/>
        <v>-40.10997240287174</v>
      </c>
      <c r="Q366">
        <f t="shared" si="154"/>
        <v>-20.926942123237428</v>
      </c>
      <c r="R366">
        <f t="shared" si="155"/>
        <v>299.26921507794731</v>
      </c>
      <c r="S366">
        <f t="shared" si="148"/>
        <v>-168.92694212323744</v>
      </c>
      <c r="T366">
        <f t="shared" si="149"/>
        <v>299.26921507794731</v>
      </c>
      <c r="V366">
        <f t="shared" si="156"/>
        <v>-20.926942123237428</v>
      </c>
      <c r="W366">
        <f t="shared" si="157"/>
        <v>299.26921507794731</v>
      </c>
      <c r="X366">
        <f t="shared" si="158"/>
        <v>-168.92694212323744</v>
      </c>
      <c r="Y366">
        <f t="shared" si="159"/>
        <v>299.26921507794731</v>
      </c>
      <c r="AA366">
        <v>356</v>
      </c>
      <c r="AB366">
        <f t="shared" si="160"/>
        <v>448.90382261692093</v>
      </c>
      <c r="AC366">
        <f t="shared" si="161"/>
        <v>-31.390413184856143</v>
      </c>
      <c r="AD366">
        <v>356</v>
      </c>
      <c r="AE366">
        <f t="shared" si="162"/>
        <v>648.41663266888577</v>
      </c>
      <c r="AF366">
        <f t="shared" si="163"/>
        <v>-45.341707933681093</v>
      </c>
      <c r="AV366">
        <v>356</v>
      </c>
      <c r="AW366">
        <f t="shared" si="164"/>
        <v>698.29483518187703</v>
      </c>
      <c r="AX366">
        <f t="shared" si="165"/>
        <v>-48.82953162088733</v>
      </c>
      <c r="AZ366">
        <f t="shared" si="146"/>
        <v>698.29483518187703</v>
      </c>
      <c r="BA366">
        <f t="shared" si="147"/>
        <v>-48.82953162088733</v>
      </c>
    </row>
    <row r="367" spans="9:53" x14ac:dyDescent="0.25">
      <c r="I367">
        <v>357</v>
      </c>
      <c r="J367">
        <f t="shared" si="150"/>
        <v>499.3147673772869</v>
      </c>
      <c r="K367">
        <f t="shared" si="151"/>
        <v>-26.167978121472185</v>
      </c>
      <c r="M367">
        <v>357</v>
      </c>
      <c r="N367">
        <f t="shared" si="152"/>
        <v>574.21198248387998</v>
      </c>
      <c r="O367">
        <f t="shared" si="153"/>
        <v>-30.093174839693013</v>
      </c>
      <c r="Q367">
        <f t="shared" si="154"/>
        <v>-15.700786872883311</v>
      </c>
      <c r="R367">
        <f t="shared" si="155"/>
        <v>299.58886042637215</v>
      </c>
      <c r="S367">
        <f t="shared" si="148"/>
        <v>-163.7007868728833</v>
      </c>
      <c r="T367">
        <f t="shared" si="149"/>
        <v>299.58886042637215</v>
      </c>
      <c r="V367">
        <f t="shared" si="156"/>
        <v>-15.700786872883311</v>
      </c>
      <c r="W367">
        <f t="shared" si="157"/>
        <v>299.58886042637215</v>
      </c>
      <c r="X367">
        <f t="shared" si="158"/>
        <v>-163.7007868728833</v>
      </c>
      <c r="Y367">
        <f t="shared" si="159"/>
        <v>299.58886042637215</v>
      </c>
      <c r="AA367">
        <v>357</v>
      </c>
      <c r="AB367">
        <f t="shared" si="160"/>
        <v>449.3832906395582</v>
      </c>
      <c r="AC367">
        <f t="shared" si="161"/>
        <v>-23.551180309324966</v>
      </c>
      <c r="AD367">
        <v>357</v>
      </c>
      <c r="AE367">
        <f t="shared" si="162"/>
        <v>649.10919759047295</v>
      </c>
      <c r="AF367">
        <f t="shared" si="163"/>
        <v>-34.018371557913838</v>
      </c>
      <c r="AV367">
        <v>357</v>
      </c>
      <c r="AW367">
        <f t="shared" si="164"/>
        <v>699.0406743282017</v>
      </c>
      <c r="AX367">
        <f t="shared" si="165"/>
        <v>-36.635169370061057</v>
      </c>
      <c r="AZ367">
        <f t="shared" si="146"/>
        <v>699.0406743282017</v>
      </c>
      <c r="BA367">
        <f t="shared" si="147"/>
        <v>-36.635169370061057</v>
      </c>
    </row>
    <row r="368" spans="9:53" x14ac:dyDescent="0.25">
      <c r="I368">
        <v>358</v>
      </c>
      <c r="J368">
        <f t="shared" si="150"/>
        <v>499.6954135095479</v>
      </c>
      <c r="K368">
        <f t="shared" si="151"/>
        <v>-17.449748351250413</v>
      </c>
      <c r="M368">
        <v>358</v>
      </c>
      <c r="N368">
        <f t="shared" si="152"/>
        <v>574.64972553598011</v>
      </c>
      <c r="O368">
        <f t="shared" si="153"/>
        <v>-20.067210603937973</v>
      </c>
      <c r="Q368">
        <f t="shared" si="154"/>
        <v>-10.469849010750247</v>
      </c>
      <c r="R368">
        <f t="shared" si="155"/>
        <v>299.81724810572871</v>
      </c>
      <c r="S368">
        <f t="shared" si="148"/>
        <v>-158.46984901075024</v>
      </c>
      <c r="T368">
        <f t="shared" si="149"/>
        <v>299.81724810572871</v>
      </c>
      <c r="V368">
        <f t="shared" si="156"/>
        <v>-10.469849010750247</v>
      </c>
      <c r="W368">
        <f t="shared" si="157"/>
        <v>299.81724810572871</v>
      </c>
      <c r="X368">
        <f t="shared" si="158"/>
        <v>-158.46984901075024</v>
      </c>
      <c r="Y368">
        <f t="shared" si="159"/>
        <v>299.81724810572871</v>
      </c>
      <c r="AA368">
        <v>358</v>
      </c>
      <c r="AB368">
        <f t="shared" si="160"/>
        <v>449.72587215859312</v>
      </c>
      <c r="AC368">
        <f t="shared" si="161"/>
        <v>-15.704773516125371</v>
      </c>
      <c r="AD368">
        <v>358</v>
      </c>
      <c r="AE368">
        <f t="shared" si="162"/>
        <v>649.60403756241226</v>
      </c>
      <c r="AF368">
        <f t="shared" si="163"/>
        <v>-22.684672856625536</v>
      </c>
      <c r="AV368">
        <v>358</v>
      </c>
      <c r="AW368">
        <f t="shared" si="164"/>
        <v>699.57357891336699</v>
      </c>
      <c r="AX368">
        <f t="shared" si="165"/>
        <v>-24.429647691750578</v>
      </c>
      <c r="AZ368">
        <f t="shared" si="146"/>
        <v>699.57357891336699</v>
      </c>
      <c r="BA368">
        <f t="shared" si="147"/>
        <v>-24.429647691750578</v>
      </c>
    </row>
    <row r="369" spans="9:53" x14ac:dyDescent="0.25">
      <c r="I369">
        <v>359</v>
      </c>
      <c r="J369">
        <f t="shared" si="150"/>
        <v>499.92384757819565</v>
      </c>
      <c r="K369">
        <f t="shared" si="151"/>
        <v>-8.7262032186422243</v>
      </c>
      <c r="M369">
        <v>359</v>
      </c>
      <c r="N369">
        <f t="shared" si="152"/>
        <v>574.91242471492501</v>
      </c>
      <c r="O369">
        <f t="shared" si="153"/>
        <v>-10.035133701438557</v>
      </c>
      <c r="Q369">
        <f t="shared" si="154"/>
        <v>-5.2357219311853349</v>
      </c>
      <c r="R369">
        <f t="shared" si="155"/>
        <v>299.95430854691739</v>
      </c>
      <c r="S369">
        <f t="shared" si="148"/>
        <v>-153.23572193118534</v>
      </c>
      <c r="T369">
        <f t="shared" si="149"/>
        <v>299.95430854691739</v>
      </c>
      <c r="V369">
        <f t="shared" si="156"/>
        <v>-5.2357219311853349</v>
      </c>
      <c r="W369">
        <f t="shared" si="157"/>
        <v>299.95430854691739</v>
      </c>
      <c r="X369">
        <f t="shared" si="158"/>
        <v>-153.23572193118534</v>
      </c>
      <c r="Y369">
        <f t="shared" si="159"/>
        <v>299.95430854691739</v>
      </c>
      <c r="AA369">
        <v>359</v>
      </c>
      <c r="AB369">
        <f t="shared" si="160"/>
        <v>449.93146282037605</v>
      </c>
      <c r="AC369">
        <f t="shared" si="161"/>
        <v>-7.8535828967780015</v>
      </c>
      <c r="AD369">
        <v>359</v>
      </c>
      <c r="AE369">
        <f t="shared" si="162"/>
        <v>649.90100185165431</v>
      </c>
      <c r="AF369">
        <f t="shared" si="163"/>
        <v>-11.344064184234892</v>
      </c>
      <c r="AV369">
        <v>359</v>
      </c>
      <c r="AW369">
        <f t="shared" si="164"/>
        <v>699.89338660947385</v>
      </c>
      <c r="AX369">
        <f t="shared" si="165"/>
        <v>-12.216684506099114</v>
      </c>
      <c r="AZ369">
        <f t="shared" si="146"/>
        <v>699.89338660947385</v>
      </c>
      <c r="BA369">
        <f t="shared" si="147"/>
        <v>-12.216684506099114</v>
      </c>
    </row>
    <row r="370" spans="9:53" x14ac:dyDescent="0.25">
      <c r="I370">
        <v>360</v>
      </c>
      <c r="J370">
        <f t="shared" si="150"/>
        <v>500</v>
      </c>
      <c r="K370">
        <f t="shared" si="151"/>
        <v>-1.22514845490862E-13</v>
      </c>
      <c r="M370">
        <v>360</v>
      </c>
      <c r="N370">
        <f t="shared" si="152"/>
        <v>575</v>
      </c>
      <c r="O370">
        <f t="shared" si="153"/>
        <v>-1.408920723144913E-13</v>
      </c>
      <c r="Q370">
        <f t="shared" si="154"/>
        <v>-7.3508907294517201E-14</v>
      </c>
      <c r="R370">
        <f t="shared" si="155"/>
        <v>300</v>
      </c>
      <c r="S370">
        <f t="shared" si="148"/>
        <v>-148.00000000000009</v>
      </c>
      <c r="T370">
        <f t="shared" si="149"/>
        <v>300</v>
      </c>
      <c r="V370">
        <f t="shared" si="156"/>
        <v>-7.3508907294517201E-14</v>
      </c>
      <c r="W370">
        <f t="shared" si="157"/>
        <v>300</v>
      </c>
      <c r="X370">
        <f t="shared" si="158"/>
        <v>-148.00000000000009</v>
      </c>
      <c r="Y370">
        <f t="shared" si="159"/>
        <v>300</v>
      </c>
      <c r="AA370">
        <v>360</v>
      </c>
      <c r="AB370">
        <f t="shared" si="160"/>
        <v>450</v>
      </c>
      <c r="AC370">
        <f t="shared" si="161"/>
        <v>-1.102633609417758E-13</v>
      </c>
      <c r="AD370">
        <v>360</v>
      </c>
      <c r="AE370">
        <f t="shared" si="162"/>
        <v>650</v>
      </c>
      <c r="AF370">
        <f t="shared" si="163"/>
        <v>-1.592692991381206E-13</v>
      </c>
      <c r="AV370">
        <v>360</v>
      </c>
      <c r="AW370">
        <f t="shared" si="164"/>
        <v>700</v>
      </c>
      <c r="AX370">
        <f t="shared" si="165"/>
        <v>-1.715207836872068E-13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8"/>
  <sheetViews>
    <sheetView zoomScale="85" zoomScaleNormal="85" workbookViewId="0">
      <selection activeCell="M73" sqref="M73"/>
    </sheetView>
  </sheetViews>
  <sheetFormatPr baseColWidth="10" defaultRowHeight="15" x14ac:dyDescent="0.25"/>
  <cols>
    <col min="1" max="1" width="13.140625" customWidth="1"/>
    <col min="11" max="11" width="22" customWidth="1"/>
    <col min="12" max="12" width="9.140625" customWidth="1"/>
    <col min="13" max="13" width="6.7109375" customWidth="1"/>
    <col min="14" max="14" width="7.5703125" customWidth="1"/>
    <col min="15" max="15" width="7.7109375" customWidth="1"/>
    <col min="16" max="17" width="6.7109375" customWidth="1"/>
    <col min="18" max="18" width="8.85546875" customWidth="1"/>
    <col min="19" max="20" width="6.7109375" customWidth="1"/>
    <col min="21" max="21" width="40" bestFit="1" customWidth="1"/>
    <col min="22" max="22" width="5.5703125" style="388" customWidth="1"/>
    <col min="23" max="23" width="40" bestFit="1" customWidth="1"/>
  </cols>
  <sheetData>
    <row r="2" spans="1:18" x14ac:dyDescent="0.25">
      <c r="F2" t="s">
        <v>1050</v>
      </c>
      <c r="J2" t="s">
        <v>1052</v>
      </c>
    </row>
    <row r="3" spans="1:18" x14ac:dyDescent="0.25">
      <c r="F3" t="s">
        <v>82</v>
      </c>
      <c r="H3" t="s">
        <v>83</v>
      </c>
      <c r="J3" t="s">
        <v>164</v>
      </c>
      <c r="K3" t="s">
        <v>163</v>
      </c>
      <c r="L3" t="s">
        <v>1056</v>
      </c>
    </row>
    <row r="4" spans="1:18" x14ac:dyDescent="0.25">
      <c r="A4" t="s">
        <v>1028</v>
      </c>
      <c r="C4" t="s">
        <v>1029</v>
      </c>
      <c r="D4" t="s">
        <v>1030</v>
      </c>
      <c r="J4" t="s">
        <v>1053</v>
      </c>
      <c r="K4" t="s">
        <v>1053</v>
      </c>
      <c r="Q4" t="str">
        <f>Tabelle2!N90</f>
        <v xml:space="preserve">einzel: </v>
      </c>
      <c r="R4" t="b">
        <f>Tabelle2!Q90</f>
        <v>0</v>
      </c>
    </row>
    <row r="5" spans="1:18" x14ac:dyDescent="0.25">
      <c r="A5" t="str">
        <f>Tabelle3!B7</f>
        <v>FPS 600</v>
      </c>
      <c r="B5" t="b">
        <f>Tabelle3!C7</f>
        <v>0</v>
      </c>
      <c r="C5">
        <v>591.4</v>
      </c>
      <c r="D5">
        <f>C5*3.14159</f>
        <v>1857.9363259999998</v>
      </c>
      <c r="F5">
        <v>45</v>
      </c>
      <c r="G5">
        <v>315</v>
      </c>
      <c r="Q5" s="7" t="str">
        <f>Tabelle2!N91</f>
        <v xml:space="preserve">doppel: </v>
      </c>
      <c r="R5" t="b">
        <f>Tabelle2!Q91</f>
        <v>0</v>
      </c>
    </row>
    <row r="6" spans="1:18" x14ac:dyDescent="0.25">
      <c r="A6" t="str">
        <f>Tabelle3!B8</f>
        <v xml:space="preserve"> FPS DN 800</v>
      </c>
      <c r="B6" t="b">
        <f>Tabelle3!C8</f>
        <v>0</v>
      </c>
      <c r="C6">
        <v>800</v>
      </c>
      <c r="D6">
        <f t="shared" ref="D6:D12" si="0">C6*3.14159</f>
        <v>2513.2719999999999</v>
      </c>
      <c r="F6">
        <v>45</v>
      </c>
      <c r="G6">
        <v>315</v>
      </c>
      <c r="P6" s="400" t="str">
        <f>"mm "&amp;Sprachen!E333</f>
        <v xml:space="preserve">mm a destra dei zero </v>
      </c>
      <c r="Q6" s="400" t="str">
        <f>K13&amp;" mm "&amp;Sprachen!E334</f>
        <v>0 mm a sinistra dei zero</v>
      </c>
      <c r="R6" s="28" t="str">
        <f>IF(AND(R5=TRUE,R14=TRUE)," 1 "&amp;Sprachen!E279,IF(R7=TRUE," 2 "&amp;Sprachen!E279," 1 "&amp;Sprachen!E279))</f>
        <v xml:space="preserve"> 1 Cond. di mandata</v>
      </c>
    </row>
    <row r="7" spans="1:18" x14ac:dyDescent="0.25">
      <c r="A7" t="str">
        <f>Tabelle3!B9</f>
        <v xml:space="preserve"> FPS DN 1000</v>
      </c>
      <c r="B7" t="b">
        <f>Tabelle3!C9</f>
        <v>1</v>
      </c>
      <c r="C7">
        <v>1000</v>
      </c>
      <c r="D7">
        <f t="shared" si="0"/>
        <v>3141.5899999999997</v>
      </c>
      <c r="F7">
        <v>45</v>
      </c>
      <c r="G7">
        <v>315</v>
      </c>
      <c r="H7">
        <v>60</v>
      </c>
      <c r="I7">
        <v>300</v>
      </c>
      <c r="P7">
        <f>J13</f>
        <v>0</v>
      </c>
      <c r="R7" t="b">
        <v>0</v>
      </c>
    </row>
    <row r="8" spans="1:18" x14ac:dyDescent="0.25">
      <c r="A8" t="str">
        <f>Tabelle3!B10</f>
        <v>NSK DN 1250</v>
      </c>
      <c r="B8" t="b">
        <f>Tabelle3!C10</f>
        <v>0</v>
      </c>
      <c r="C8">
        <v>1250</v>
      </c>
      <c r="D8">
        <f t="shared" si="0"/>
        <v>3926.9874999999997</v>
      </c>
      <c r="F8">
        <v>45</v>
      </c>
      <c r="G8">
        <v>315</v>
      </c>
      <c r="P8" s="28">
        <f>IF(R4=TRUE,F13,H13)</f>
        <v>60</v>
      </c>
      <c r="Q8" s="28">
        <f>IF(R4=TRUE,G13,I13)</f>
        <v>300</v>
      </c>
    </row>
    <row r="9" spans="1:18" x14ac:dyDescent="0.25">
      <c r="A9" t="str">
        <f>Tabelle3!B11</f>
        <v>NSZ  DN 1250</v>
      </c>
      <c r="B9" t="b">
        <f>Tabelle3!C11</f>
        <v>0</v>
      </c>
      <c r="C9">
        <v>1250</v>
      </c>
      <c r="D9">
        <f t="shared" si="0"/>
        <v>3926.9874999999997</v>
      </c>
      <c r="F9">
        <v>45</v>
      </c>
      <c r="G9">
        <v>315</v>
      </c>
    </row>
    <row r="10" spans="1:18" x14ac:dyDescent="0.25">
      <c r="A10" t="str">
        <f>Tabelle3!B12</f>
        <v>NSZD DN 1250</v>
      </c>
      <c r="B10" t="b">
        <f>Tabelle3!C12</f>
        <v>0</v>
      </c>
      <c r="C10">
        <v>1250</v>
      </c>
      <c r="D10">
        <f t="shared" si="0"/>
        <v>3926.9874999999997</v>
      </c>
      <c r="F10">
        <v>45</v>
      </c>
      <c r="G10">
        <v>315</v>
      </c>
      <c r="H10">
        <v>70</v>
      </c>
      <c r="I10">
        <v>290</v>
      </c>
      <c r="J10">
        <v>350</v>
      </c>
      <c r="K10">
        <v>350</v>
      </c>
      <c r="L10">
        <v>30</v>
      </c>
      <c r="R10" t="s">
        <v>1057</v>
      </c>
    </row>
    <row r="11" spans="1:18" x14ac:dyDescent="0.25">
      <c r="A11" t="str">
        <f>Tabelle3!B13</f>
        <v>PBS 1500</v>
      </c>
      <c r="B11" t="b">
        <f>Tabelle3!C13</f>
        <v>0</v>
      </c>
      <c r="C11">
        <v>1500</v>
      </c>
      <c r="D11">
        <f t="shared" si="0"/>
        <v>4712.3850000000002</v>
      </c>
      <c r="F11">
        <v>35</v>
      </c>
      <c r="G11">
        <v>325</v>
      </c>
      <c r="H11">
        <v>70</v>
      </c>
      <c r="I11">
        <v>290</v>
      </c>
      <c r="J11">
        <v>375</v>
      </c>
      <c r="K11">
        <v>375</v>
      </c>
      <c r="L11">
        <v>26.7</v>
      </c>
      <c r="R11">
        <f>Tabelle3!$Z$11</f>
        <v>400</v>
      </c>
    </row>
    <row r="12" spans="1:18" x14ac:dyDescent="0.25">
      <c r="A12" t="str">
        <f>Tabelle3!B14</f>
        <v>PBS 2000</v>
      </c>
      <c r="B12" t="b">
        <f>Tabelle3!C14</f>
        <v>0</v>
      </c>
      <c r="C12">
        <v>2000</v>
      </c>
      <c r="D12">
        <f t="shared" si="0"/>
        <v>6283.1799999999994</v>
      </c>
      <c r="F12">
        <v>30</v>
      </c>
      <c r="G12">
        <v>330</v>
      </c>
      <c r="H12">
        <v>60</v>
      </c>
      <c r="I12">
        <v>300</v>
      </c>
      <c r="J12">
        <v>450</v>
      </c>
      <c r="K12">
        <v>450</v>
      </c>
      <c r="L12">
        <v>34</v>
      </c>
    </row>
    <row r="13" spans="1:18" x14ac:dyDescent="0.25">
      <c r="B13" s="397"/>
      <c r="C13" s="154" t="b">
        <v>1</v>
      </c>
      <c r="D13" s="154">
        <f>VLOOKUP(C13,B5:D12,3,0)</f>
        <v>3141.5899999999997</v>
      </c>
      <c r="E13" s="154"/>
      <c r="F13" s="154">
        <f>VLOOKUP(C13,B5:I12,5,0)</f>
        <v>45</v>
      </c>
      <c r="G13" s="154">
        <f>VLOOKUP(C13,B5:I12,6,0)</f>
        <v>315</v>
      </c>
      <c r="H13" s="154">
        <f>VLOOKUP(C13,B5:I12,7,0)</f>
        <v>60</v>
      </c>
      <c r="I13" s="398">
        <f>VLOOKUP(C13,B5:I12,8,0)</f>
        <v>300</v>
      </c>
      <c r="J13" s="398">
        <f>VLOOKUP(C13,B5:K12,9,0)</f>
        <v>0</v>
      </c>
      <c r="K13" s="398">
        <f>VLOOKUP(C13,B5:K12,10,0)</f>
        <v>0</v>
      </c>
      <c r="L13" s="398">
        <f>VLOOKUP(C13,B5:L12,11,0)</f>
        <v>0</v>
      </c>
      <c r="P13" t="s">
        <v>1059</v>
      </c>
    </row>
    <row r="14" spans="1:18" x14ac:dyDescent="0.25">
      <c r="B14" t="s">
        <v>1640</v>
      </c>
      <c r="C14">
        <f>VLOOKUP(C13,B5:C12,2,0)/2</f>
        <v>500</v>
      </c>
      <c r="R14" t="b">
        <f>IF(OR(Tabelle2!B37=TRUE,Tabelle2!B35=TRUE,Tabelle2!B34=TRUE,Tabelle2!B33=TRUE,Tabelle2!B32=TRUE),TRUE,FALSE)</f>
        <v>0</v>
      </c>
    </row>
    <row r="15" spans="1:18" x14ac:dyDescent="0.25">
      <c r="E15" s="55" t="s">
        <v>1036</v>
      </c>
      <c r="F15" t="e">
        <f>Tabelle3!$M$56</f>
        <v>#VALUE!</v>
      </c>
    </row>
    <row r="17" spans="1:23" ht="147.75" x14ac:dyDescent="0.25">
      <c r="B17" s="388" t="s">
        <v>1033</v>
      </c>
      <c r="D17" s="390" t="s">
        <v>1048</v>
      </c>
      <c r="E17" s="390" t="s">
        <v>1037</v>
      </c>
      <c r="F17" s="390" t="s">
        <v>1035</v>
      </c>
      <c r="G17" s="404" t="s">
        <v>1034</v>
      </c>
      <c r="H17" s="390"/>
      <c r="I17" s="404" t="s">
        <v>1044</v>
      </c>
      <c r="J17" s="404"/>
      <c r="K17" t="s">
        <v>1040</v>
      </c>
      <c r="L17" s="390" t="s">
        <v>1038</v>
      </c>
      <c r="M17" s="414" t="s">
        <v>1041</v>
      </c>
      <c r="N17" s="390" t="s">
        <v>1039</v>
      </c>
      <c r="O17" s="414" t="s">
        <v>1042</v>
      </c>
      <c r="P17" s="414" t="s">
        <v>1043</v>
      </c>
      <c r="Q17" s="390" t="s">
        <v>1047</v>
      </c>
      <c r="R17" s="390" t="s">
        <v>1049</v>
      </c>
      <c r="S17" s="390" t="s">
        <v>1063</v>
      </c>
      <c r="T17" s="390" t="s">
        <v>1066</v>
      </c>
      <c r="U17" s="391" t="s">
        <v>1064</v>
      </c>
      <c r="W17" s="391" t="s">
        <v>1065</v>
      </c>
    </row>
    <row r="18" spans="1:23" x14ac:dyDescent="0.25">
      <c r="M18" s="139"/>
      <c r="O18" s="139"/>
      <c r="P18" s="139"/>
    </row>
    <row r="19" spans="1:23" x14ac:dyDescent="0.25">
      <c r="A19" s="60" t="str">
        <f>Sprachen!E302</f>
        <v>Condotta di mandata pompa</v>
      </c>
      <c r="B19" s="405">
        <f>IF(R7=TRUE,L13,0)</f>
        <v>0</v>
      </c>
      <c r="C19" s="406">
        <f>$D$13/360*B19</f>
        <v>0</v>
      </c>
      <c r="D19" s="61">
        <v>1</v>
      </c>
      <c r="E19" s="61"/>
      <c r="F19" s="113" t="e">
        <f>Tabelle3!$AD$8</f>
        <v>#VALUE!</v>
      </c>
      <c r="G19" s="61">
        <f>C19</f>
        <v>0</v>
      </c>
      <c r="H19" s="407" t="e">
        <f>Linkauswahl!G96/2</f>
        <v>#N/A</v>
      </c>
      <c r="I19" s="38" t="e">
        <f>H19/2+25</f>
        <v>#N/A</v>
      </c>
      <c r="K19" s="391" t="str">
        <f>A19&amp;Sprachen!E313&amp;A20</f>
        <v>Condotta di mandata pompa con Guaina per cavi elettrici</v>
      </c>
      <c r="L19" s="389" t="e">
        <f>F19-F20</f>
        <v>#VALUE!</v>
      </c>
      <c r="M19" s="415" t="e">
        <f>IF(SIGN(L19)=-1,-L19,L19)</f>
        <v>#VALUE!</v>
      </c>
      <c r="N19" s="389" t="e">
        <f>G19-G20</f>
        <v>#VALUE!</v>
      </c>
      <c r="O19" s="415" t="e">
        <f>IF(IF(SIGN(N19)=-1,-N19,N19)=0,0.0001,IF(SIGN(N19)=-1,-N19,N19))</f>
        <v>#VALUE!</v>
      </c>
      <c r="P19" s="415" t="e">
        <f>SQRT((M19*M19)+(O19*O19))</f>
        <v>#VALUE!</v>
      </c>
      <c r="Q19" s="389" t="e">
        <f>P19-I19-I20</f>
        <v>#VALUE!</v>
      </c>
      <c r="R19" s="389">
        <f>D$19+D20</f>
        <v>2</v>
      </c>
      <c r="S19" s="389" t="e">
        <f>IF(R19&lt;2,0,IF(Q19&lt;=0,1,0))</f>
        <v>#VALUE!</v>
      </c>
      <c r="T19" s="389" t="e">
        <f>S19</f>
        <v>#VALUE!</v>
      </c>
      <c r="U19" t="e">
        <f>IF(S19=1,Sprachen!$E$331&amp;K19,"")</f>
        <v>#VALUE!</v>
      </c>
      <c r="V19" s="388">
        <v>1</v>
      </c>
      <c r="W19" t="e">
        <f>VLOOKUP(V19,$T$19:$U$68,2,0)</f>
        <v>#N/A</v>
      </c>
    </row>
    <row r="20" spans="1:23" x14ac:dyDescent="0.25">
      <c r="A20" s="62" t="str">
        <f>Sprachen!E303</f>
        <v>Guaina per cavi elettrici</v>
      </c>
      <c r="B20" s="408" t="str">
        <f>IF(Schachtanfrage!E20="","",IF(Schachtanfrage!E20=0,0.0001,Schachtanfrage!E20))</f>
        <v/>
      </c>
      <c r="C20" s="408" t="e">
        <f t="shared" ref="C20:C28" si="1">$D$13/360*B20</f>
        <v>#VALUE!</v>
      </c>
      <c r="D20" s="9">
        <v>1</v>
      </c>
      <c r="E20" s="9">
        <f>Schachtanfrage!E21</f>
        <v>0</v>
      </c>
      <c r="F20" s="409" t="e">
        <f>$F$15-E20</f>
        <v>#VALUE!</v>
      </c>
      <c r="G20" s="9" t="e">
        <f t="shared" ref="G20:G28" si="2">C20</f>
        <v>#VALUE!</v>
      </c>
      <c r="H20" s="9">
        <f>IF(Linkauswahl!F94&gt;51,Linkauswahl!F94,Linkauswahl!F75)</f>
        <v>0</v>
      </c>
      <c r="I20" s="63">
        <f>H20/2+25</f>
        <v>25</v>
      </c>
      <c r="K20" s="391" t="str">
        <f>$A$20&amp;Sprachen!E313&amp;A21</f>
        <v>Guaina per cavi elettrici con Entrata 1</v>
      </c>
      <c r="L20" s="389" t="e">
        <f>$F$20-F21</f>
        <v>#VALUE!</v>
      </c>
      <c r="M20" s="415" t="e">
        <f>IF(SIGN(L20)=-1,-L20,L20)</f>
        <v>#VALUE!</v>
      </c>
      <c r="N20" s="389" t="e">
        <f>$G$20-G21</f>
        <v>#VALUE!</v>
      </c>
      <c r="O20" s="415" t="e">
        <f>IF(IF(SIGN(N20)=-1,-N20,N20)=0,0.0001,IF(SIGN(N20)=-1,-N20,N20))</f>
        <v>#VALUE!</v>
      </c>
      <c r="P20" s="415" t="e">
        <f t="shared" ref="P20:P65" si="3">SQRT((M20*M20)+(O20*O20))</f>
        <v>#VALUE!</v>
      </c>
      <c r="Q20" s="389" t="e">
        <f>P20-$I$20-I21</f>
        <v>#VALUE!</v>
      </c>
      <c r="R20" s="389">
        <f>D$19+D21</f>
        <v>2</v>
      </c>
      <c r="S20" s="389" t="e">
        <f>IF(R20&lt;2,0,IF(Q20&lt;=0,1,0))</f>
        <v>#VALUE!</v>
      </c>
      <c r="T20" s="389" t="e">
        <f>MAX(T$18:T19)+S20</f>
        <v>#VALUE!</v>
      </c>
      <c r="U20" t="e">
        <f>IF(S20=1,Sprachen!$E$331&amp;K20,"")</f>
        <v>#VALUE!</v>
      </c>
      <c r="V20" s="388">
        <v>2</v>
      </c>
      <c r="W20" t="e">
        <f t="shared" ref="W20:W68" si="4">VLOOKUP(V20,$T$19:$U$68,2,0)</f>
        <v>#N/A</v>
      </c>
    </row>
    <row r="21" spans="1:23" x14ac:dyDescent="0.25">
      <c r="A21" s="62" t="str">
        <f>Sprachen!E304</f>
        <v>Entrata 1</v>
      </c>
      <c r="B21" s="408">
        <f>Schachtanfrage!E28</f>
        <v>0</v>
      </c>
      <c r="C21" s="408">
        <f t="shared" si="1"/>
        <v>0</v>
      </c>
      <c r="D21" s="9">
        <v>1</v>
      </c>
      <c r="E21" s="9"/>
      <c r="F21" s="409" t="e">
        <f>Tabelle3!$X$5</f>
        <v>#VALUE!</v>
      </c>
      <c r="G21" s="9">
        <f t="shared" si="2"/>
        <v>0</v>
      </c>
      <c r="H21" s="9">
        <f>Schachtanfrage!$E$30</f>
        <v>0</v>
      </c>
      <c r="I21" s="63">
        <f>IF(H21&lt;126,H21/2+25,H21/2+50)</f>
        <v>25</v>
      </c>
      <c r="K21" s="391" t="str">
        <f>$A$20&amp;Sprachen!E313&amp;A22</f>
        <v>Guaina per cavi elettrici con Entrata 2</v>
      </c>
      <c r="L21" s="389" t="e">
        <f t="shared" ref="L21:L27" si="5">$F$20-F22</f>
        <v>#VALUE!</v>
      </c>
      <c r="M21" s="415" t="e">
        <f>IF(SIGN(L21)=-1,-L21,L21)</f>
        <v>#VALUE!</v>
      </c>
      <c r="N21" s="389" t="e">
        <f>$G$20-G22</f>
        <v>#VALUE!</v>
      </c>
      <c r="O21" s="415" t="e">
        <f>IF(IF(SIGN(N21)=-1,-N21,N21)=0,0.0001,IF(SIGN(N21)=-1,-N21,N21))</f>
        <v>#VALUE!</v>
      </c>
      <c r="P21" s="415" t="e">
        <f>SQRT((M21*M21)+(O21*O21))</f>
        <v>#VALUE!</v>
      </c>
      <c r="Q21" s="389" t="e">
        <f t="shared" ref="Q21:Q27" si="6">P21-$I$20-I22</f>
        <v>#VALUE!</v>
      </c>
      <c r="R21" s="389">
        <f t="shared" ref="R21:R27" si="7">D$19+D22</f>
        <v>1</v>
      </c>
      <c r="S21" s="389">
        <f>IF(R21&lt;2,0,IF(Q21&lt;=0,1,0))</f>
        <v>0</v>
      </c>
      <c r="T21" s="389" t="e">
        <f>MAX(T$18:T20)+S21</f>
        <v>#VALUE!</v>
      </c>
      <c r="U21" t="str">
        <f>IF(S21=1,Sprachen!$E$331&amp;K21,"")</f>
        <v/>
      </c>
      <c r="V21" s="388">
        <v>3</v>
      </c>
      <c r="W21" t="e">
        <f t="shared" si="4"/>
        <v>#N/A</v>
      </c>
    </row>
    <row r="22" spans="1:23" x14ac:dyDescent="0.25">
      <c r="A22" s="62" t="str">
        <f>Sprachen!E305</f>
        <v>Entrata 2</v>
      </c>
      <c r="B22" s="408">
        <f>Schachtanfrage!E33</f>
        <v>0</v>
      </c>
      <c r="C22" s="408">
        <f t="shared" si="1"/>
        <v>0</v>
      </c>
      <c r="D22" s="9">
        <f>IF(Schachtanfrage!E33&gt;0.0001,1,0)</f>
        <v>0</v>
      </c>
      <c r="E22" s="9">
        <f>Schachtanfrage!E34</f>
        <v>0</v>
      </c>
      <c r="F22" s="409" t="e">
        <f>$F$15-E22</f>
        <v>#VALUE!</v>
      </c>
      <c r="G22" s="9">
        <f t="shared" si="2"/>
        <v>0</v>
      </c>
      <c r="H22" s="9">
        <f>Schachtanfrage!E35</f>
        <v>0</v>
      </c>
      <c r="I22" s="63">
        <f>IF(H22&lt;126,H22/2+25,H22/2+50)</f>
        <v>25</v>
      </c>
      <c r="K22" s="391" t="str">
        <f>$A$20&amp;Sprachen!E313&amp;A23</f>
        <v>Guaina per cavi elettrici con Entrata 3</v>
      </c>
      <c r="L22" s="389" t="e">
        <f t="shared" si="5"/>
        <v>#VALUE!</v>
      </c>
      <c r="M22" s="415" t="e">
        <f t="shared" ref="M22:M27" si="8">IF(SIGN(L22)=-1,-L22,L22)</f>
        <v>#VALUE!</v>
      </c>
      <c r="N22" s="389" t="e">
        <f t="shared" ref="N22:N27" si="9">$G$20-G23</f>
        <v>#VALUE!</v>
      </c>
      <c r="O22" s="415" t="e">
        <f t="shared" ref="O22:O27" si="10">IF(IF(SIGN(N22)=-1,-N22,N22)=0,0.0001,IF(SIGN(N22)=-1,-N22,N22))</f>
        <v>#VALUE!</v>
      </c>
      <c r="P22" s="415" t="e">
        <f t="shared" si="3"/>
        <v>#VALUE!</v>
      </c>
      <c r="Q22" s="389" t="e">
        <f>P22-$I$20-I23</f>
        <v>#VALUE!</v>
      </c>
      <c r="R22" s="389">
        <f>D$19+D23</f>
        <v>1</v>
      </c>
      <c r="S22" s="389">
        <f t="shared" ref="S22:S63" si="11">IF(R22&lt;2,0,IF(Q22&lt;=0,1,0))</f>
        <v>0</v>
      </c>
      <c r="T22" s="389" t="e">
        <f>MAX(T$18:T21)+S22</f>
        <v>#VALUE!</v>
      </c>
      <c r="U22" t="str">
        <f>IF(S22=1,Sprachen!$E$331&amp;K22,"")</f>
        <v/>
      </c>
      <c r="V22" s="388">
        <v>4</v>
      </c>
      <c r="W22" t="e">
        <f t="shared" si="4"/>
        <v>#N/A</v>
      </c>
    </row>
    <row r="23" spans="1:23" x14ac:dyDescent="0.25">
      <c r="A23" s="62" t="str">
        <f>Sprachen!E306</f>
        <v>Entrata 3</v>
      </c>
      <c r="B23" s="408">
        <f>Schachtanfrage!E38</f>
        <v>0</v>
      </c>
      <c r="C23" s="408">
        <f t="shared" si="1"/>
        <v>0</v>
      </c>
      <c r="D23" s="9">
        <f>IF(Schachtanfrage!E38&gt;0.0001,1,0)</f>
        <v>0</v>
      </c>
      <c r="E23" s="9">
        <f>Schachtanfrage!E39</f>
        <v>0</v>
      </c>
      <c r="F23" s="409" t="e">
        <f t="shared" ref="F23:F28" si="12">$F$15-E23</f>
        <v>#VALUE!</v>
      </c>
      <c r="G23" s="9">
        <f t="shared" si="2"/>
        <v>0</v>
      </c>
      <c r="H23" s="9">
        <f>Schachtanfrage!E40</f>
        <v>0</v>
      </c>
      <c r="I23" s="63">
        <f t="shared" ref="I23:I27" si="13">IF(H23&lt;126,H23/2+25,H23/2+50)</f>
        <v>25</v>
      </c>
      <c r="K23" s="391" t="str">
        <f>$A$20&amp;Sprachen!E313&amp;A24</f>
        <v>Guaina per cavi elettrici con Entrata 4</v>
      </c>
      <c r="L23" s="389" t="e">
        <f t="shared" si="5"/>
        <v>#VALUE!</v>
      </c>
      <c r="M23" s="415" t="e">
        <f t="shared" si="8"/>
        <v>#VALUE!</v>
      </c>
      <c r="N23" s="389" t="e">
        <f t="shared" si="9"/>
        <v>#VALUE!</v>
      </c>
      <c r="O23" s="415" t="e">
        <f t="shared" si="10"/>
        <v>#VALUE!</v>
      </c>
      <c r="P23" s="415" t="e">
        <f t="shared" si="3"/>
        <v>#VALUE!</v>
      </c>
      <c r="Q23" s="389" t="e">
        <f t="shared" si="6"/>
        <v>#VALUE!</v>
      </c>
      <c r="R23" s="389">
        <f t="shared" si="7"/>
        <v>1</v>
      </c>
      <c r="S23" s="389">
        <f t="shared" si="11"/>
        <v>0</v>
      </c>
      <c r="T23" s="389" t="e">
        <f>MAX(T$18:T22)+S23</f>
        <v>#VALUE!</v>
      </c>
      <c r="U23" t="str">
        <f>IF(S23=1,Sprachen!$E$331&amp;K23,"")</f>
        <v/>
      </c>
      <c r="V23" s="388">
        <v>5</v>
      </c>
      <c r="W23" t="e">
        <f t="shared" si="4"/>
        <v>#N/A</v>
      </c>
    </row>
    <row r="24" spans="1:23" x14ac:dyDescent="0.25">
      <c r="A24" s="62" t="str">
        <f>Sprachen!E307</f>
        <v>Entrata 4</v>
      </c>
      <c r="B24" s="408">
        <f>Schachtanfrage!E43</f>
        <v>0</v>
      </c>
      <c r="C24" s="408">
        <f t="shared" si="1"/>
        <v>0</v>
      </c>
      <c r="D24" s="9">
        <f>IF(Schachtanfrage!E43&gt;0.0001,1,0)</f>
        <v>0</v>
      </c>
      <c r="E24" s="9">
        <f>Schachtanfrage!E44</f>
        <v>0</v>
      </c>
      <c r="F24" s="409" t="e">
        <f t="shared" si="12"/>
        <v>#VALUE!</v>
      </c>
      <c r="G24" s="9">
        <f t="shared" si="2"/>
        <v>0</v>
      </c>
      <c r="H24" s="9">
        <f>Schachtanfrage!E45</f>
        <v>0</v>
      </c>
      <c r="I24" s="63">
        <f t="shared" si="13"/>
        <v>25</v>
      </c>
      <c r="K24" s="391" t="str">
        <f>$A$20&amp;Sprachen!E313&amp;A25</f>
        <v>Guaina per cavi elettrici con Entrata 5</v>
      </c>
      <c r="L24" s="389" t="e">
        <f t="shared" si="5"/>
        <v>#VALUE!</v>
      </c>
      <c r="M24" s="415" t="e">
        <f t="shared" si="8"/>
        <v>#VALUE!</v>
      </c>
      <c r="N24" s="389" t="e">
        <f t="shared" si="9"/>
        <v>#VALUE!</v>
      </c>
      <c r="O24" s="415" t="e">
        <f t="shared" si="10"/>
        <v>#VALUE!</v>
      </c>
      <c r="P24" s="415" t="e">
        <f t="shared" si="3"/>
        <v>#VALUE!</v>
      </c>
      <c r="Q24" s="389" t="e">
        <f t="shared" si="6"/>
        <v>#VALUE!</v>
      </c>
      <c r="R24" s="389">
        <f t="shared" si="7"/>
        <v>1</v>
      </c>
      <c r="S24" s="389">
        <f t="shared" si="11"/>
        <v>0</v>
      </c>
      <c r="T24" s="389" t="e">
        <f>MAX(T$18:T23)+S24</f>
        <v>#VALUE!</v>
      </c>
      <c r="U24" t="str">
        <f>IF(S24=1,Sprachen!$E$331&amp;K24,"")</f>
        <v/>
      </c>
      <c r="V24" s="388">
        <v>6</v>
      </c>
      <c r="W24" t="e">
        <f t="shared" si="4"/>
        <v>#N/A</v>
      </c>
    </row>
    <row r="25" spans="1:23" x14ac:dyDescent="0.25">
      <c r="A25" s="62" t="str">
        <f>Sprachen!E308</f>
        <v>Entrata 5</v>
      </c>
      <c r="B25" s="408">
        <f>Schachtanfrage!K28</f>
        <v>0</v>
      </c>
      <c r="C25" s="408">
        <f t="shared" si="1"/>
        <v>0</v>
      </c>
      <c r="D25" s="9">
        <f>IF(Schachtanfrage!K28&gt;0.0001,1,0)</f>
        <v>0</v>
      </c>
      <c r="E25" s="9">
        <f>Schachtanfrage!K29</f>
        <v>0</v>
      </c>
      <c r="F25" s="409" t="e">
        <f t="shared" si="12"/>
        <v>#VALUE!</v>
      </c>
      <c r="G25" s="9">
        <f t="shared" si="2"/>
        <v>0</v>
      </c>
      <c r="H25" s="9">
        <f>Schachtanfrage!K30</f>
        <v>0</v>
      </c>
      <c r="I25" s="63">
        <f t="shared" si="13"/>
        <v>25</v>
      </c>
      <c r="K25" s="391" t="str">
        <f>$A$20&amp;Sprachen!E313&amp;A26</f>
        <v>Guaina per cavi elettrici con Entrata 6</v>
      </c>
      <c r="L25" s="389" t="e">
        <f t="shared" si="5"/>
        <v>#VALUE!</v>
      </c>
      <c r="M25" s="415" t="e">
        <f t="shared" si="8"/>
        <v>#VALUE!</v>
      </c>
      <c r="N25" s="389" t="e">
        <f t="shared" si="9"/>
        <v>#VALUE!</v>
      </c>
      <c r="O25" s="415" t="e">
        <f t="shared" si="10"/>
        <v>#VALUE!</v>
      </c>
      <c r="P25" s="415" t="e">
        <f t="shared" si="3"/>
        <v>#VALUE!</v>
      </c>
      <c r="Q25" s="389" t="e">
        <f>P25-$I$20-I26</f>
        <v>#VALUE!</v>
      </c>
      <c r="R25" s="389">
        <f t="shared" si="7"/>
        <v>1</v>
      </c>
      <c r="S25" s="389">
        <f t="shared" si="11"/>
        <v>0</v>
      </c>
      <c r="T25" s="389" t="e">
        <f>MAX(T$18:T24)+S25</f>
        <v>#VALUE!</v>
      </c>
      <c r="U25" t="str">
        <f>IF(S25=1,Sprachen!$E$331&amp;K25,"")</f>
        <v/>
      </c>
      <c r="V25" s="388">
        <v>7</v>
      </c>
      <c r="W25" t="e">
        <f t="shared" si="4"/>
        <v>#N/A</v>
      </c>
    </row>
    <row r="26" spans="1:23" x14ac:dyDescent="0.25">
      <c r="A26" s="62" t="str">
        <f>Sprachen!E309</f>
        <v>Entrata 6</v>
      </c>
      <c r="B26" s="408">
        <f>Schachtanfrage!K33</f>
        <v>0</v>
      </c>
      <c r="C26" s="408">
        <f t="shared" si="1"/>
        <v>0</v>
      </c>
      <c r="D26" s="9">
        <f>IF(Schachtanfrage!K33&gt;0.0001,1,0)</f>
        <v>0</v>
      </c>
      <c r="E26" s="9">
        <f>Schachtanfrage!K34</f>
        <v>0</v>
      </c>
      <c r="F26" s="409" t="e">
        <f t="shared" si="12"/>
        <v>#VALUE!</v>
      </c>
      <c r="G26" s="9">
        <f t="shared" si="2"/>
        <v>0</v>
      </c>
      <c r="H26" s="9">
        <f>Schachtanfrage!K35</f>
        <v>0</v>
      </c>
      <c r="I26" s="63">
        <f t="shared" si="13"/>
        <v>25</v>
      </c>
      <c r="K26" s="391" t="str">
        <f>$A$20&amp;Sprachen!E313&amp;A27</f>
        <v>Guaina per cavi elettrici con Entrata 7</v>
      </c>
      <c r="L26" s="389" t="e">
        <f t="shared" si="5"/>
        <v>#VALUE!</v>
      </c>
      <c r="M26" s="415" t="e">
        <f t="shared" si="8"/>
        <v>#VALUE!</v>
      </c>
      <c r="N26" s="389" t="e">
        <f t="shared" si="9"/>
        <v>#VALUE!</v>
      </c>
      <c r="O26" s="415" t="e">
        <f t="shared" si="10"/>
        <v>#VALUE!</v>
      </c>
      <c r="P26" s="415" t="e">
        <f>SQRT((M26*M26)+(O26*O26))</f>
        <v>#VALUE!</v>
      </c>
      <c r="Q26" s="389" t="e">
        <f t="shared" si="6"/>
        <v>#VALUE!</v>
      </c>
      <c r="R26" s="389">
        <f t="shared" si="7"/>
        <v>1</v>
      </c>
      <c r="S26" s="389">
        <f t="shared" si="11"/>
        <v>0</v>
      </c>
      <c r="T26" s="389" t="e">
        <f>MAX(T$18:T25)+S26</f>
        <v>#VALUE!</v>
      </c>
      <c r="U26" t="str">
        <f>IF(S26=1,Sprachen!$E$331&amp;K26,"")</f>
        <v/>
      </c>
      <c r="V26" s="388">
        <v>8</v>
      </c>
      <c r="W26" t="e">
        <f t="shared" si="4"/>
        <v>#N/A</v>
      </c>
    </row>
    <row r="27" spans="1:23" x14ac:dyDescent="0.25">
      <c r="A27" s="62" t="str">
        <f>Sprachen!E310</f>
        <v>Entrata 7</v>
      </c>
      <c r="B27" s="408">
        <f>Schachtanfrage!K38</f>
        <v>0</v>
      </c>
      <c r="C27" s="408">
        <f t="shared" si="1"/>
        <v>0</v>
      </c>
      <c r="D27" s="9">
        <f>IF(Schachtanfrage!K38&gt;0.0001,1,0)</f>
        <v>0</v>
      </c>
      <c r="E27" s="9">
        <f>Schachtanfrage!K39</f>
        <v>0</v>
      </c>
      <c r="F27" s="409" t="e">
        <f>$F$15-E27</f>
        <v>#VALUE!</v>
      </c>
      <c r="G27" s="9">
        <f t="shared" si="2"/>
        <v>0</v>
      </c>
      <c r="H27" s="9">
        <f>Schachtanfrage!K40</f>
        <v>0</v>
      </c>
      <c r="I27" s="63">
        <f t="shared" si="13"/>
        <v>25</v>
      </c>
      <c r="K27" s="391" t="str">
        <f>$A$20&amp;Sprachen!E313&amp;A28</f>
        <v>Guaina per cavi elettrici con Entrata 8</v>
      </c>
      <c r="L27" s="389" t="e">
        <f t="shared" si="5"/>
        <v>#VALUE!</v>
      </c>
      <c r="M27" s="415" t="e">
        <f t="shared" si="8"/>
        <v>#VALUE!</v>
      </c>
      <c r="N27" s="389" t="e">
        <f t="shared" si="9"/>
        <v>#VALUE!</v>
      </c>
      <c r="O27" s="415" t="e">
        <f t="shared" si="10"/>
        <v>#VALUE!</v>
      </c>
      <c r="P27" s="415" t="e">
        <f t="shared" si="3"/>
        <v>#VALUE!</v>
      </c>
      <c r="Q27" s="389" t="e">
        <f t="shared" si="6"/>
        <v>#VALUE!</v>
      </c>
      <c r="R27" s="389">
        <f t="shared" si="7"/>
        <v>1</v>
      </c>
      <c r="S27" s="389">
        <f t="shared" si="11"/>
        <v>0</v>
      </c>
      <c r="T27" s="389" t="e">
        <f>MAX(T$18:T26)+S27</f>
        <v>#VALUE!</v>
      </c>
      <c r="U27" t="str">
        <f>IF(S27=1,Sprachen!$E$331&amp;K27,"")</f>
        <v/>
      </c>
      <c r="V27" s="388">
        <v>9</v>
      </c>
      <c r="W27" t="e">
        <f t="shared" si="4"/>
        <v>#N/A</v>
      </c>
    </row>
    <row r="28" spans="1:23" x14ac:dyDescent="0.25">
      <c r="A28" s="62" t="str">
        <f>Sprachen!E311</f>
        <v>Entrata 8</v>
      </c>
      <c r="B28" s="408">
        <f>Schachtanfrage!K43</f>
        <v>0</v>
      </c>
      <c r="C28" s="408">
        <f t="shared" si="1"/>
        <v>0</v>
      </c>
      <c r="D28" s="9">
        <f>IF(Schachtanfrage!K43&gt;0.0001,1,0)</f>
        <v>0</v>
      </c>
      <c r="E28" s="9">
        <f>Schachtanfrage!K44</f>
        <v>0</v>
      </c>
      <c r="F28" s="409" t="e">
        <f t="shared" si="12"/>
        <v>#VALUE!</v>
      </c>
      <c r="G28" s="9">
        <f t="shared" si="2"/>
        <v>0</v>
      </c>
      <c r="H28" s="9">
        <f>Schachtanfrage!K45</f>
        <v>0</v>
      </c>
      <c r="I28" s="63">
        <f t="shared" ref="I28" si="14">IF(H28&gt;126,H28/2+25,H28/2+50)</f>
        <v>50</v>
      </c>
      <c r="K28" s="391"/>
      <c r="M28" s="139"/>
      <c r="O28" s="139"/>
      <c r="P28" s="415"/>
      <c r="S28" s="389">
        <f t="shared" si="11"/>
        <v>0</v>
      </c>
      <c r="T28" s="389" t="e">
        <f>MAX(T$18:T27)+S28</f>
        <v>#VALUE!</v>
      </c>
      <c r="U28" t="str">
        <f>IF(S28=1,Sprachen!$E$331&amp;K28,"")</f>
        <v/>
      </c>
      <c r="V28" s="388">
        <v>10</v>
      </c>
      <c r="W28" t="e">
        <f t="shared" si="4"/>
        <v>#N/A</v>
      </c>
    </row>
    <row r="29" spans="1:23" x14ac:dyDescent="0.25">
      <c r="A29" s="65" t="str">
        <f>Sprachen!E312</f>
        <v>Condotta di mandata pompa 2</v>
      </c>
      <c r="B29" s="410">
        <f>IF(R7=TRUE,360-L13,0)</f>
        <v>0</v>
      </c>
      <c r="C29" s="411">
        <f>$D$13/360*B29</f>
        <v>0</v>
      </c>
      <c r="D29" s="66">
        <f>IF(R7,1,0)</f>
        <v>0</v>
      </c>
      <c r="E29" s="66">
        <f>Schachtanfrage!K45</f>
        <v>0</v>
      </c>
      <c r="F29" s="412" t="e">
        <f>F19</f>
        <v>#VALUE!</v>
      </c>
      <c r="G29" s="66">
        <f>C29</f>
        <v>0</v>
      </c>
      <c r="H29" s="413" t="e">
        <f>H19</f>
        <v>#N/A</v>
      </c>
      <c r="I29" s="67" t="e">
        <f>H29/2+25</f>
        <v>#N/A</v>
      </c>
      <c r="M29" s="139"/>
      <c r="O29" s="139"/>
      <c r="P29" s="415"/>
      <c r="S29" s="389">
        <f t="shared" si="11"/>
        <v>0</v>
      </c>
      <c r="T29" s="389" t="e">
        <f>MAX(T$18:T28)+S29</f>
        <v>#VALUE!</v>
      </c>
      <c r="U29" t="str">
        <f>IF(S29=1,Sprachen!$E$331&amp;K29,"")</f>
        <v/>
      </c>
      <c r="V29" s="388">
        <v>11</v>
      </c>
      <c r="W29" t="e">
        <f t="shared" si="4"/>
        <v>#N/A</v>
      </c>
    </row>
    <row r="30" spans="1:23" x14ac:dyDescent="0.25">
      <c r="K30" s="391" t="str">
        <f>$A$21&amp;Sprachen!E313&amp;A22</f>
        <v>Entrata 1 con Entrata 2</v>
      </c>
      <c r="L30" s="392" t="e">
        <f>$F$21-F22</f>
        <v>#VALUE!</v>
      </c>
      <c r="M30" s="415" t="e">
        <f>IF(SIGN(L30)=-1,-L30,L30)</f>
        <v>#VALUE!</v>
      </c>
      <c r="N30" s="392">
        <f>$G$21-G22</f>
        <v>0</v>
      </c>
      <c r="O30" s="415">
        <f>IF(IF(SIGN(N30)=-1,-N30,N30)=0,0.0001,IF(SIGN(N30)=-1,-N30,N30))</f>
        <v>1E-4</v>
      </c>
      <c r="P30" s="415" t="e">
        <f t="shared" si="3"/>
        <v>#VALUE!</v>
      </c>
      <c r="Q30" s="392" t="e">
        <f>P30-$I$21-I22</f>
        <v>#VALUE!</v>
      </c>
      <c r="R30" s="389">
        <f>D$21+D22</f>
        <v>1</v>
      </c>
      <c r="S30" s="389">
        <f>IF(R30&lt;2,0,IF(Q30&lt;=0,1,0))</f>
        <v>0</v>
      </c>
      <c r="T30" s="389" t="e">
        <f>MAX(T$18:T29)+S30</f>
        <v>#VALUE!</v>
      </c>
      <c r="U30" t="str">
        <f>IF(S30=1,Sprachen!$E$331&amp;K30,"")</f>
        <v/>
      </c>
      <c r="V30" s="388">
        <v>12</v>
      </c>
      <c r="W30" t="e">
        <f t="shared" si="4"/>
        <v>#N/A</v>
      </c>
    </row>
    <row r="31" spans="1:23" x14ac:dyDescent="0.25">
      <c r="K31" s="391" t="str">
        <f>$A$21&amp;Sprachen!$E$313&amp;A23</f>
        <v>Entrata 1 con Entrata 3</v>
      </c>
      <c r="L31" s="392" t="e">
        <f t="shared" ref="L31:L36" si="15">$F$21-F23</f>
        <v>#VALUE!</v>
      </c>
      <c r="M31" s="415" t="e">
        <f t="shared" ref="M31:M36" si="16">IF(SIGN(L31)=-1,-L31,L31)</f>
        <v>#VALUE!</v>
      </c>
      <c r="N31" s="392">
        <f t="shared" ref="N31:N36" si="17">$G$21-G23</f>
        <v>0</v>
      </c>
      <c r="O31" s="415">
        <f t="shared" ref="O31:O36" si="18">IF(IF(SIGN(N31)=-1,-N31,N31)=0,0.0001,IF(SIGN(N31)=-1,-N31,N31))</f>
        <v>1E-4</v>
      </c>
      <c r="P31" s="415" t="e">
        <f t="shared" si="3"/>
        <v>#VALUE!</v>
      </c>
      <c r="Q31" s="392" t="e">
        <f t="shared" ref="Q31:Q36" si="19">P31-$I$21-I23</f>
        <v>#VALUE!</v>
      </c>
      <c r="R31" s="389">
        <f t="shared" ref="R31:R36" si="20">D$21+D23</f>
        <v>1</v>
      </c>
      <c r="S31" s="389">
        <f>IF(R31&lt;2,0,IF(Q31&lt;=0,1,0))</f>
        <v>0</v>
      </c>
      <c r="T31" s="389" t="e">
        <f>MAX(T$18:T30)+S31</f>
        <v>#VALUE!</v>
      </c>
      <c r="U31" t="str">
        <f>IF(S31=1,Sprachen!$E$331&amp;K31,"")</f>
        <v/>
      </c>
      <c r="V31" s="388">
        <v>13</v>
      </c>
      <c r="W31" t="e">
        <f t="shared" si="4"/>
        <v>#N/A</v>
      </c>
    </row>
    <row r="32" spans="1:23" x14ac:dyDescent="0.25">
      <c r="K32" s="391" t="str">
        <f>$A$21&amp;Sprachen!$E$313&amp;A24</f>
        <v>Entrata 1 con Entrata 4</v>
      </c>
      <c r="L32" s="392" t="e">
        <f t="shared" si="15"/>
        <v>#VALUE!</v>
      </c>
      <c r="M32" s="415" t="e">
        <f t="shared" si="16"/>
        <v>#VALUE!</v>
      </c>
      <c r="N32" s="392">
        <f t="shared" si="17"/>
        <v>0</v>
      </c>
      <c r="O32" s="415">
        <f t="shared" si="18"/>
        <v>1E-4</v>
      </c>
      <c r="P32" s="415" t="e">
        <f t="shared" si="3"/>
        <v>#VALUE!</v>
      </c>
      <c r="Q32" s="392" t="e">
        <f t="shared" si="19"/>
        <v>#VALUE!</v>
      </c>
      <c r="R32" s="389">
        <f t="shared" si="20"/>
        <v>1</v>
      </c>
      <c r="S32" s="389">
        <f t="shared" si="11"/>
        <v>0</v>
      </c>
      <c r="T32" s="389" t="e">
        <f>MAX(T$18:T31)+S32</f>
        <v>#VALUE!</v>
      </c>
      <c r="U32" t="str">
        <f>IF(S32=1,Sprachen!$E$331&amp;K32,"")</f>
        <v/>
      </c>
      <c r="V32" s="388">
        <v>14</v>
      </c>
      <c r="W32" t="e">
        <f t="shared" si="4"/>
        <v>#N/A</v>
      </c>
    </row>
    <row r="33" spans="1:23" x14ac:dyDescent="0.25">
      <c r="K33" s="391" t="str">
        <f>$A$21&amp;Sprachen!$E$313&amp;A25</f>
        <v>Entrata 1 con Entrata 5</v>
      </c>
      <c r="L33" s="392" t="e">
        <f>$F$21-F25</f>
        <v>#VALUE!</v>
      </c>
      <c r="M33" s="415" t="e">
        <f t="shared" si="16"/>
        <v>#VALUE!</v>
      </c>
      <c r="N33" s="392">
        <f t="shared" si="17"/>
        <v>0</v>
      </c>
      <c r="O33" s="415">
        <f t="shared" si="18"/>
        <v>1E-4</v>
      </c>
      <c r="P33" s="415" t="e">
        <f t="shared" si="3"/>
        <v>#VALUE!</v>
      </c>
      <c r="Q33" s="392" t="e">
        <f>P33-$I$21-I25</f>
        <v>#VALUE!</v>
      </c>
      <c r="R33" s="389">
        <f t="shared" si="20"/>
        <v>1</v>
      </c>
      <c r="S33" s="389">
        <f t="shared" si="11"/>
        <v>0</v>
      </c>
      <c r="T33" s="389" t="e">
        <f>MAX(T$18:T32)+S33</f>
        <v>#VALUE!</v>
      </c>
      <c r="U33" t="str">
        <f>IF(S33=1,Sprachen!$E$331&amp;K33,"")</f>
        <v/>
      </c>
      <c r="V33" s="388">
        <v>15</v>
      </c>
      <c r="W33" t="e">
        <f t="shared" si="4"/>
        <v>#N/A</v>
      </c>
    </row>
    <row r="34" spans="1:23" x14ac:dyDescent="0.25">
      <c r="A34" t="s">
        <v>1060</v>
      </c>
      <c r="D34">
        <v>25</v>
      </c>
      <c r="K34" s="391" t="str">
        <f>$A$21&amp;Sprachen!$E$313&amp;A26</f>
        <v>Entrata 1 con Entrata 6</v>
      </c>
      <c r="L34" s="392" t="e">
        <f t="shared" si="15"/>
        <v>#VALUE!</v>
      </c>
      <c r="M34" s="415" t="e">
        <f t="shared" si="16"/>
        <v>#VALUE!</v>
      </c>
      <c r="N34" s="392">
        <f t="shared" si="17"/>
        <v>0</v>
      </c>
      <c r="O34" s="415">
        <f t="shared" si="18"/>
        <v>1E-4</v>
      </c>
      <c r="P34" s="415" t="e">
        <f t="shared" si="3"/>
        <v>#VALUE!</v>
      </c>
      <c r="Q34" s="392" t="e">
        <f>P34-$I$21-I26</f>
        <v>#VALUE!</v>
      </c>
      <c r="R34" s="389">
        <f>D$21+D26</f>
        <v>1</v>
      </c>
      <c r="S34" s="389">
        <f t="shared" si="11"/>
        <v>0</v>
      </c>
      <c r="T34" s="389" t="e">
        <f>MAX(T$18:T33)+S34</f>
        <v>#VALUE!</v>
      </c>
      <c r="U34" t="str">
        <f>IF(S34=1,Sprachen!$E$331&amp;K34,"")</f>
        <v/>
      </c>
      <c r="V34" s="388">
        <v>16</v>
      </c>
      <c r="W34" t="e">
        <f t="shared" si="4"/>
        <v>#N/A</v>
      </c>
    </row>
    <row r="35" spans="1:23" x14ac:dyDescent="0.25">
      <c r="A35" t="s">
        <v>1061</v>
      </c>
      <c r="D35">
        <v>50</v>
      </c>
      <c r="K35" s="391" t="str">
        <f>$A$21&amp;Sprachen!$E$313&amp;A27</f>
        <v>Entrata 1 con Entrata 7</v>
      </c>
      <c r="L35" s="392" t="e">
        <f t="shared" si="15"/>
        <v>#VALUE!</v>
      </c>
      <c r="M35" s="415" t="e">
        <f t="shared" si="16"/>
        <v>#VALUE!</v>
      </c>
      <c r="N35" s="392">
        <f t="shared" si="17"/>
        <v>0</v>
      </c>
      <c r="O35" s="415">
        <f t="shared" si="18"/>
        <v>1E-4</v>
      </c>
      <c r="P35" s="415" t="e">
        <f t="shared" si="3"/>
        <v>#VALUE!</v>
      </c>
      <c r="Q35" s="392" t="e">
        <f>P35-$I$21-I27</f>
        <v>#VALUE!</v>
      </c>
      <c r="R35" s="389">
        <f>D$21+D27</f>
        <v>1</v>
      </c>
      <c r="S35" s="389">
        <f t="shared" si="11"/>
        <v>0</v>
      </c>
      <c r="T35" s="389" t="e">
        <f>MAX(T$18:T34)+S35</f>
        <v>#VALUE!</v>
      </c>
      <c r="U35" t="str">
        <f>IF(S35=1,Sprachen!$E$331&amp;K35,"")</f>
        <v/>
      </c>
      <c r="V35" s="388">
        <v>17</v>
      </c>
      <c r="W35" t="e">
        <f t="shared" si="4"/>
        <v>#N/A</v>
      </c>
    </row>
    <row r="36" spans="1:23" x14ac:dyDescent="0.25">
      <c r="F36" t="s">
        <v>1062</v>
      </c>
      <c r="K36" s="391" t="str">
        <f>$A$21&amp;Sprachen!$E$313&amp;A28</f>
        <v>Entrata 1 con Entrata 8</v>
      </c>
      <c r="L36" s="392" t="e">
        <f t="shared" si="15"/>
        <v>#VALUE!</v>
      </c>
      <c r="M36" s="415" t="e">
        <f t="shared" si="16"/>
        <v>#VALUE!</v>
      </c>
      <c r="N36" s="392">
        <f t="shared" si="17"/>
        <v>0</v>
      </c>
      <c r="O36" s="415">
        <f t="shared" si="18"/>
        <v>1E-4</v>
      </c>
      <c r="P36" s="415" t="e">
        <f t="shared" si="3"/>
        <v>#VALUE!</v>
      </c>
      <c r="Q36" s="392" t="e">
        <f t="shared" si="19"/>
        <v>#VALUE!</v>
      </c>
      <c r="R36" s="389">
        <f t="shared" si="20"/>
        <v>1</v>
      </c>
      <c r="S36" s="389">
        <f t="shared" si="11"/>
        <v>0</v>
      </c>
      <c r="T36" s="389" t="e">
        <f>MAX(T$18:T35)+S36</f>
        <v>#VALUE!</v>
      </c>
      <c r="U36" t="str">
        <f>IF(S36=1,Sprachen!$E$331&amp;K36,"")</f>
        <v/>
      </c>
      <c r="V36" s="388">
        <v>18</v>
      </c>
      <c r="W36" t="e">
        <f t="shared" si="4"/>
        <v>#N/A</v>
      </c>
    </row>
    <row r="37" spans="1:23" x14ac:dyDescent="0.25">
      <c r="F37" s="32"/>
      <c r="M37" s="139"/>
      <c r="O37" s="139"/>
      <c r="P37" s="415"/>
      <c r="S37" s="389">
        <f t="shared" si="11"/>
        <v>0</v>
      </c>
      <c r="T37" s="389" t="e">
        <f>MAX(T$18:T36)+S37</f>
        <v>#VALUE!</v>
      </c>
      <c r="U37" t="str">
        <f>IF(S37=1,Sprachen!$E$331&amp;K37,"")</f>
        <v/>
      </c>
      <c r="V37" s="388">
        <v>19</v>
      </c>
      <c r="W37" t="e">
        <f t="shared" si="4"/>
        <v>#N/A</v>
      </c>
    </row>
    <row r="38" spans="1:23" x14ac:dyDescent="0.25">
      <c r="B38" s="139">
        <f>IF(OR(B6=TRUE,B7=TRUE),0,1)</f>
        <v>0</v>
      </c>
      <c r="C38" s="389">
        <f>B38</f>
        <v>0</v>
      </c>
      <c r="D38">
        <v>56</v>
      </c>
      <c r="E38">
        <v>1</v>
      </c>
      <c r="F38" s="139">
        <f>IF(ISERROR(VLOOKUP(E38,$C$38:$D$45,2,0)),"",VLOOKUP(E38,$C$38:$D$45,2,0))</f>
        <v>75</v>
      </c>
      <c r="K38" s="391" t="str">
        <f>$A$22&amp;Sprachen!$E$313&amp;A23</f>
        <v>Entrata 2 con Entrata 3</v>
      </c>
      <c r="L38" s="392" t="e">
        <f>$F$22-F23</f>
        <v>#VALUE!</v>
      </c>
      <c r="M38" s="415" t="e">
        <f>IF(SIGN(L38)=-1,-L38,L38)</f>
        <v>#VALUE!</v>
      </c>
      <c r="N38" s="392">
        <f>$G$22-G23</f>
        <v>0</v>
      </c>
      <c r="O38" s="415">
        <f>IF(IF(SIGN(N38)=-1,-N38,N38)=0,0.0001,IF(SIGN(N38)=-1,-N38,N38))</f>
        <v>1E-4</v>
      </c>
      <c r="P38" s="415" t="e">
        <f t="shared" si="3"/>
        <v>#VALUE!</v>
      </c>
      <c r="Q38" s="392" t="e">
        <f>P38-$I$22-I23</f>
        <v>#VALUE!</v>
      </c>
      <c r="R38" s="389">
        <f>D$22+D23</f>
        <v>0</v>
      </c>
      <c r="S38" s="389">
        <f t="shared" si="11"/>
        <v>0</v>
      </c>
      <c r="T38" s="389" t="e">
        <f>MAX(T$18:T37)+S38</f>
        <v>#VALUE!</v>
      </c>
      <c r="U38" t="str">
        <f>IF(S38=1,Sprachen!$E$331&amp;K38,"")</f>
        <v/>
      </c>
      <c r="V38" s="388">
        <v>20</v>
      </c>
      <c r="W38" t="e">
        <f t="shared" si="4"/>
        <v>#N/A</v>
      </c>
    </row>
    <row r="39" spans="1:23" x14ac:dyDescent="0.25">
      <c r="B39" s="139">
        <f>IF(OR(B6=TRUE,B7=TRUE),0,1)</f>
        <v>0</v>
      </c>
      <c r="C39" s="389">
        <f>MAX(C$38:C38)+B39</f>
        <v>0</v>
      </c>
      <c r="D39">
        <v>63</v>
      </c>
      <c r="E39">
        <v>2</v>
      </c>
      <c r="F39" s="139">
        <f t="shared" ref="F39:F45" si="21">IF(ISERROR(VLOOKUP(E39,$C$38:$D$45,2,0)),"",VLOOKUP(E39,$C$38:$D$45,2,0))</f>
        <v>110</v>
      </c>
      <c r="K39" s="391" t="str">
        <f>$A$22&amp;Sprachen!$E$313&amp;A24</f>
        <v>Entrata 2 con Entrata 4</v>
      </c>
      <c r="L39" s="392" t="e">
        <f>$F$22-F24</f>
        <v>#VALUE!</v>
      </c>
      <c r="M39" s="415" t="e">
        <f t="shared" ref="M39:M43" si="22">IF(SIGN(L39)=-1,-L39,L39)</f>
        <v>#VALUE!</v>
      </c>
      <c r="N39" s="392">
        <f t="shared" ref="N39:N43" si="23">$G$22-G24</f>
        <v>0</v>
      </c>
      <c r="O39" s="415">
        <f t="shared" ref="O39:O43" si="24">IF(IF(SIGN(N39)=-1,-N39,N39)=0,0.0001,IF(SIGN(N39)=-1,-N39,N39))</f>
        <v>1E-4</v>
      </c>
      <c r="P39" s="415" t="e">
        <f t="shared" si="3"/>
        <v>#VALUE!</v>
      </c>
      <c r="Q39" s="392" t="e">
        <f t="shared" ref="Q39:Q43" si="25">P39-$I$22-I24</f>
        <v>#VALUE!</v>
      </c>
      <c r="R39" s="389">
        <f t="shared" ref="R39:R43" si="26">D$22+D24</f>
        <v>0</v>
      </c>
      <c r="S39" s="389">
        <f t="shared" si="11"/>
        <v>0</v>
      </c>
      <c r="T39" s="389" t="e">
        <f>MAX(T$18:T38)+S39</f>
        <v>#VALUE!</v>
      </c>
      <c r="U39" t="str">
        <f>IF(S39=1,Sprachen!$E$331&amp;K39,"")</f>
        <v/>
      </c>
      <c r="V39" s="388">
        <v>21</v>
      </c>
      <c r="W39" t="e">
        <f t="shared" si="4"/>
        <v>#N/A</v>
      </c>
    </row>
    <row r="40" spans="1:23" x14ac:dyDescent="0.25">
      <c r="B40" s="139">
        <v>1</v>
      </c>
      <c r="C40" s="389">
        <f>MAX(C$38:C39)+B40</f>
        <v>1</v>
      </c>
      <c r="D40">
        <v>75</v>
      </c>
      <c r="E40">
        <v>3</v>
      </c>
      <c r="F40" s="139">
        <f t="shared" si="21"/>
        <v>125</v>
      </c>
      <c r="K40" s="391" t="str">
        <f>$A$22&amp;Sprachen!$E$313&amp;A25</f>
        <v>Entrata 2 con Entrata 5</v>
      </c>
      <c r="L40" s="392" t="e">
        <f t="shared" ref="L40:L43" si="27">$F$22-F25</f>
        <v>#VALUE!</v>
      </c>
      <c r="M40" s="415" t="e">
        <f t="shared" si="22"/>
        <v>#VALUE!</v>
      </c>
      <c r="N40" s="392">
        <f t="shared" si="23"/>
        <v>0</v>
      </c>
      <c r="O40" s="415">
        <f t="shared" si="24"/>
        <v>1E-4</v>
      </c>
      <c r="P40" s="415" t="e">
        <f t="shared" si="3"/>
        <v>#VALUE!</v>
      </c>
      <c r="Q40" s="392" t="e">
        <f>P40-$I$22-I25</f>
        <v>#VALUE!</v>
      </c>
      <c r="R40" s="389">
        <f>D$22+D25</f>
        <v>0</v>
      </c>
      <c r="S40" s="389">
        <f t="shared" si="11"/>
        <v>0</v>
      </c>
      <c r="T40" s="389" t="e">
        <f>MAX(T$18:T39)+S40</f>
        <v>#VALUE!</v>
      </c>
      <c r="U40" t="str">
        <f>IF(S40=1,Sprachen!$E$331&amp;K40,"")</f>
        <v/>
      </c>
      <c r="V40" s="388">
        <v>22</v>
      </c>
      <c r="W40" t="e">
        <f t="shared" si="4"/>
        <v>#N/A</v>
      </c>
    </row>
    <row r="41" spans="1:23" x14ac:dyDescent="0.25">
      <c r="B41" s="139">
        <f>IF(OR(B6=TRUE,B7=TRUE),0,1)</f>
        <v>0</v>
      </c>
      <c r="C41" s="389">
        <f>MAX(C$38:C40)+B41</f>
        <v>1</v>
      </c>
      <c r="D41">
        <v>90</v>
      </c>
      <c r="E41">
        <v>4</v>
      </c>
      <c r="F41" s="139">
        <f t="shared" si="21"/>
        <v>160</v>
      </c>
      <c r="K41" s="391" t="str">
        <f>$A$22&amp;Sprachen!$E$313&amp;A26</f>
        <v>Entrata 2 con Entrata 6</v>
      </c>
      <c r="L41" s="392" t="e">
        <f t="shared" si="27"/>
        <v>#VALUE!</v>
      </c>
      <c r="M41" s="415" t="e">
        <f t="shared" si="22"/>
        <v>#VALUE!</v>
      </c>
      <c r="N41" s="392">
        <f t="shared" si="23"/>
        <v>0</v>
      </c>
      <c r="O41" s="415">
        <f t="shared" si="24"/>
        <v>1E-4</v>
      </c>
      <c r="P41" s="415" t="e">
        <f t="shared" si="3"/>
        <v>#VALUE!</v>
      </c>
      <c r="Q41" s="392" t="e">
        <f t="shared" si="25"/>
        <v>#VALUE!</v>
      </c>
      <c r="R41" s="389">
        <f t="shared" si="26"/>
        <v>0</v>
      </c>
      <c r="S41" s="389">
        <f t="shared" si="11"/>
        <v>0</v>
      </c>
      <c r="T41" s="389" t="e">
        <f>MAX(T$18:T40)+S41</f>
        <v>#VALUE!</v>
      </c>
      <c r="U41" t="str">
        <f>IF(S41=1,Sprachen!$E$331&amp;K41,"")</f>
        <v/>
      </c>
      <c r="V41" s="388">
        <v>23</v>
      </c>
      <c r="W41" t="e">
        <f t="shared" si="4"/>
        <v>#N/A</v>
      </c>
    </row>
    <row r="42" spans="1:23" x14ac:dyDescent="0.25">
      <c r="B42" s="139">
        <v>1</v>
      </c>
      <c r="C42" s="389">
        <f>MAX(C$38:C41)+B42</f>
        <v>2</v>
      </c>
      <c r="D42">
        <v>110</v>
      </c>
      <c r="E42">
        <v>5</v>
      </c>
      <c r="F42" s="139" t="str">
        <f>IF(ISERROR(VLOOKUP(E42,$C$38:$D$45,2,0)),"",VLOOKUP(E42,$C$38:$D$45,2,0))</f>
        <v/>
      </c>
      <c r="K42" s="391" t="str">
        <f>$A$22&amp;Sprachen!$E$313&amp;A27</f>
        <v>Entrata 2 con Entrata 7</v>
      </c>
      <c r="L42" s="392" t="e">
        <f>$F$22-F27</f>
        <v>#VALUE!</v>
      </c>
      <c r="M42" s="415" t="e">
        <f t="shared" si="22"/>
        <v>#VALUE!</v>
      </c>
      <c r="N42" s="392">
        <f t="shared" si="23"/>
        <v>0</v>
      </c>
      <c r="O42" s="415">
        <f t="shared" si="24"/>
        <v>1E-4</v>
      </c>
      <c r="P42" s="415" t="e">
        <f t="shared" si="3"/>
        <v>#VALUE!</v>
      </c>
      <c r="Q42" s="392" t="e">
        <f t="shared" si="25"/>
        <v>#VALUE!</v>
      </c>
      <c r="R42" s="389">
        <f t="shared" si="26"/>
        <v>0</v>
      </c>
      <c r="S42" s="389">
        <f t="shared" si="11"/>
        <v>0</v>
      </c>
      <c r="T42" s="389" t="e">
        <f>MAX(T$18:T41)+S42</f>
        <v>#VALUE!</v>
      </c>
      <c r="U42" t="str">
        <f>IF(S42=1,Sprachen!$E$331&amp;K42,"")</f>
        <v/>
      </c>
      <c r="V42" s="388">
        <v>24</v>
      </c>
      <c r="W42" t="e">
        <f t="shared" si="4"/>
        <v>#N/A</v>
      </c>
    </row>
    <row r="43" spans="1:23" x14ac:dyDescent="0.25">
      <c r="B43" s="139">
        <v>1</v>
      </c>
      <c r="C43" s="389">
        <f>MAX(C$38:C42)+B43</f>
        <v>3</v>
      </c>
      <c r="D43">
        <v>125</v>
      </c>
      <c r="E43">
        <v>6</v>
      </c>
      <c r="F43" s="139" t="str">
        <f t="shared" si="21"/>
        <v/>
      </c>
      <c r="K43" s="391" t="str">
        <f>$A$22&amp;Sprachen!$E$313&amp;A28</f>
        <v>Entrata 2 con Entrata 8</v>
      </c>
      <c r="L43" s="392" t="e">
        <f t="shared" si="27"/>
        <v>#VALUE!</v>
      </c>
      <c r="M43" s="415" t="e">
        <f t="shared" si="22"/>
        <v>#VALUE!</v>
      </c>
      <c r="N43" s="392">
        <f t="shared" si="23"/>
        <v>0</v>
      </c>
      <c r="O43" s="415">
        <f t="shared" si="24"/>
        <v>1E-4</v>
      </c>
      <c r="P43" s="415" t="e">
        <f t="shared" si="3"/>
        <v>#VALUE!</v>
      </c>
      <c r="Q43" s="392" t="e">
        <f t="shared" si="25"/>
        <v>#VALUE!</v>
      </c>
      <c r="R43" s="389">
        <f t="shared" si="26"/>
        <v>0</v>
      </c>
      <c r="S43" s="389">
        <f t="shared" si="11"/>
        <v>0</v>
      </c>
      <c r="T43" s="389" t="e">
        <f>MAX(T$18:T42)+S43</f>
        <v>#VALUE!</v>
      </c>
      <c r="U43" t="str">
        <f>IF(S43=1,Sprachen!$E$331&amp;K43,"")</f>
        <v/>
      </c>
      <c r="V43" s="388">
        <v>25</v>
      </c>
      <c r="W43" t="e">
        <f t="shared" si="4"/>
        <v>#N/A</v>
      </c>
    </row>
    <row r="44" spans="1:23" x14ac:dyDescent="0.25">
      <c r="B44" s="139">
        <f>IF(B5=TRUE,0,1)</f>
        <v>1</v>
      </c>
      <c r="C44" s="389">
        <f>MAX(C$38:C43)+B44</f>
        <v>4</v>
      </c>
      <c r="D44">
        <v>160</v>
      </c>
      <c r="E44">
        <v>7</v>
      </c>
      <c r="F44" s="139" t="str">
        <f t="shared" si="21"/>
        <v/>
      </c>
      <c r="M44" s="139"/>
      <c r="O44" s="139"/>
      <c r="P44" s="415"/>
      <c r="S44" s="389">
        <f t="shared" si="11"/>
        <v>0</v>
      </c>
      <c r="T44" s="389" t="e">
        <f>MAX(T$18:T43)+S44</f>
        <v>#VALUE!</v>
      </c>
      <c r="U44" t="str">
        <f>IF(S44=1,Sprachen!$E$331&amp;K44,"")</f>
        <v/>
      </c>
      <c r="V44" s="388">
        <v>26</v>
      </c>
      <c r="W44" t="e">
        <f t="shared" si="4"/>
        <v>#N/A</v>
      </c>
    </row>
    <row r="45" spans="1:23" x14ac:dyDescent="0.25">
      <c r="B45" s="139">
        <f>IF(OR(B5=TRUE,B6=TRUE,B7=TRUE),0,1)</f>
        <v>0</v>
      </c>
      <c r="C45" s="389">
        <f>MAX(C$38:C44)+B45</f>
        <v>4</v>
      </c>
      <c r="D45">
        <v>200</v>
      </c>
      <c r="E45">
        <v>8</v>
      </c>
      <c r="F45" s="140" t="str">
        <f t="shared" si="21"/>
        <v/>
      </c>
      <c r="K45" s="391" t="str">
        <f>$A$23&amp;Sprachen!$E$313&amp;A24</f>
        <v>Entrata 3 con Entrata 4</v>
      </c>
      <c r="L45" s="392" t="e">
        <f>$F$23-F24</f>
        <v>#VALUE!</v>
      </c>
      <c r="M45" s="415" t="e">
        <f>IF(SIGN(L45)=-1,-L45,L45)</f>
        <v>#VALUE!</v>
      </c>
      <c r="N45" s="392">
        <f>$G$23-G24</f>
        <v>0</v>
      </c>
      <c r="O45" s="415">
        <f>IF(IF(SIGN(N45)=-1,-N45,N45)=0,0.0001,IF(SIGN(N45)=-1,-N45,N45))</f>
        <v>1E-4</v>
      </c>
      <c r="P45" s="415" t="e">
        <f t="shared" si="3"/>
        <v>#VALUE!</v>
      </c>
      <c r="Q45" s="392" t="e">
        <f>P45-$I$23-I24</f>
        <v>#VALUE!</v>
      </c>
      <c r="R45" s="389">
        <f>D$23+D24</f>
        <v>0</v>
      </c>
      <c r="S45" s="389">
        <f t="shared" si="11"/>
        <v>0</v>
      </c>
      <c r="T45" s="389" t="e">
        <f>MAX(T$18:T44)+S45</f>
        <v>#VALUE!</v>
      </c>
      <c r="U45" t="str">
        <f>IF(S45=1,Sprachen!$E$331&amp;K45,"")</f>
        <v/>
      </c>
      <c r="V45" s="388">
        <v>27</v>
      </c>
      <c r="W45" t="e">
        <f t="shared" si="4"/>
        <v>#N/A</v>
      </c>
    </row>
    <row r="46" spans="1:23" x14ac:dyDescent="0.25">
      <c r="K46" s="391" t="str">
        <f>$A$23&amp;Sprachen!$E$313&amp;A25</f>
        <v>Entrata 3 con Entrata 5</v>
      </c>
      <c r="L46" s="392" t="e">
        <f>$F$23-F25</f>
        <v>#VALUE!</v>
      </c>
      <c r="M46" s="415" t="e">
        <f t="shared" ref="M46:M49" si="28">IF(SIGN(L46)=-1,-L46,L46)</f>
        <v>#VALUE!</v>
      </c>
      <c r="N46" s="392">
        <f t="shared" ref="N46:N49" si="29">$G$23-G25</f>
        <v>0</v>
      </c>
      <c r="O46" s="415">
        <f t="shared" ref="O46:O49" si="30">IF(IF(SIGN(N46)=-1,-N46,N46)=0,0.0001,IF(SIGN(N46)=-1,-N46,N46))</f>
        <v>1E-4</v>
      </c>
      <c r="P46" s="415" t="e">
        <f t="shared" si="3"/>
        <v>#VALUE!</v>
      </c>
      <c r="Q46" s="392" t="e">
        <f t="shared" ref="Q46:Q49" si="31">P46-$I$23-I25</f>
        <v>#VALUE!</v>
      </c>
      <c r="R46" s="389">
        <f>D$23+D25</f>
        <v>0</v>
      </c>
      <c r="S46" s="389">
        <f t="shared" si="11"/>
        <v>0</v>
      </c>
      <c r="T46" s="389" t="e">
        <f>MAX(T$18:T45)+S46</f>
        <v>#VALUE!</v>
      </c>
      <c r="U46" t="str">
        <f>IF(S46=1,Sprachen!$E$331&amp;K46,"")</f>
        <v/>
      </c>
      <c r="V46" s="388">
        <v>28</v>
      </c>
      <c r="W46" t="e">
        <f t="shared" si="4"/>
        <v>#N/A</v>
      </c>
    </row>
    <row r="47" spans="1:23" x14ac:dyDescent="0.25">
      <c r="A47" t="e">
        <f>IF(B47=Schachtanfrage!D48,3,0)</f>
        <v>#VALUE!</v>
      </c>
      <c r="B47" s="32" t="e">
        <f>Linkauswahl!C46</f>
        <v>#VALUE!</v>
      </c>
      <c r="K47" s="391" t="str">
        <f>$A$23&amp;Sprachen!$E$313&amp;A26</f>
        <v>Entrata 3 con Entrata 6</v>
      </c>
      <c r="L47" s="392" t="e">
        <f>$F$23-F26</f>
        <v>#VALUE!</v>
      </c>
      <c r="M47" s="415" t="e">
        <f t="shared" si="28"/>
        <v>#VALUE!</v>
      </c>
      <c r="N47" s="392">
        <f t="shared" si="29"/>
        <v>0</v>
      </c>
      <c r="O47" s="415">
        <f t="shared" si="30"/>
        <v>1E-4</v>
      </c>
      <c r="P47" s="415" t="e">
        <f t="shared" si="3"/>
        <v>#VALUE!</v>
      </c>
      <c r="Q47" s="392" t="e">
        <f>P47-$I$23-I26</f>
        <v>#VALUE!</v>
      </c>
      <c r="R47" s="389">
        <f>D$23+D26</f>
        <v>0</v>
      </c>
      <c r="S47" s="389">
        <f>IF(R47&lt;2,0,IF(Q47&lt;=0,1,0))</f>
        <v>0</v>
      </c>
      <c r="T47" s="389" t="e">
        <f>MAX(T$18:T46)+S47</f>
        <v>#VALUE!</v>
      </c>
      <c r="U47" t="str">
        <f>IF(S47=1,Sprachen!$E$331&amp;K47,"")</f>
        <v/>
      </c>
      <c r="V47" s="388">
        <v>29</v>
      </c>
      <c r="W47" t="e">
        <f t="shared" si="4"/>
        <v>#N/A</v>
      </c>
    </row>
    <row r="48" spans="1:23" x14ac:dyDescent="0.25">
      <c r="A48" t="e">
        <f>IF(B48=Schachtanfrage!D48,2,0)</f>
        <v>#VALUE!</v>
      </c>
      <c r="B48" s="139" t="e">
        <f>Linkauswahl!C47</f>
        <v>#VALUE!</v>
      </c>
      <c r="K48" s="391" t="str">
        <f>$A$23&amp;Sprachen!$E$313&amp;A27</f>
        <v>Entrata 3 con Entrata 7</v>
      </c>
      <c r="L48" s="392" t="e">
        <f>$F$23-F27</f>
        <v>#VALUE!</v>
      </c>
      <c r="M48" s="415" t="e">
        <f t="shared" si="28"/>
        <v>#VALUE!</v>
      </c>
      <c r="N48" s="392">
        <f>$G$23-G27</f>
        <v>0</v>
      </c>
      <c r="O48" s="415">
        <f t="shared" si="30"/>
        <v>1E-4</v>
      </c>
      <c r="P48" s="415" t="e">
        <f>SQRT((M48*M48)+(O48*O48))</f>
        <v>#VALUE!</v>
      </c>
      <c r="Q48" s="392" t="e">
        <f>P48-$I$23-I27</f>
        <v>#VALUE!</v>
      </c>
      <c r="R48" s="389">
        <f>D$23+D27</f>
        <v>0</v>
      </c>
      <c r="S48" s="389">
        <f>IF(R48&lt;2,0,IF(Q48&lt;=0,1,0))</f>
        <v>0</v>
      </c>
      <c r="T48" s="389" t="e">
        <f>MAX(T$18:T47)+S48</f>
        <v>#VALUE!</v>
      </c>
      <c r="U48" t="str">
        <f>IF(S48=1,Sprachen!$E$331&amp;K48,"")</f>
        <v/>
      </c>
      <c r="V48" s="388">
        <v>30</v>
      </c>
      <c r="W48" t="e">
        <f t="shared" si="4"/>
        <v>#N/A</v>
      </c>
    </row>
    <row r="49" spans="1:23" x14ac:dyDescent="0.25">
      <c r="A49" t="e">
        <f>IF(B49=Schachtanfrage!D48,1,0)</f>
        <v>#VALUE!</v>
      </c>
      <c r="B49" s="140" t="e">
        <f>Linkauswahl!C48</f>
        <v>#VALUE!</v>
      </c>
      <c r="K49" s="391" t="str">
        <f>$A$23&amp;Sprachen!$E$313&amp;A28</f>
        <v>Entrata 3 con Entrata 8</v>
      </c>
      <c r="L49" s="392" t="e">
        <f>$F$23-F28</f>
        <v>#VALUE!</v>
      </c>
      <c r="M49" s="415" t="e">
        <f t="shared" si="28"/>
        <v>#VALUE!</v>
      </c>
      <c r="N49" s="392">
        <f t="shared" si="29"/>
        <v>0</v>
      </c>
      <c r="O49" s="415">
        <f t="shared" si="30"/>
        <v>1E-4</v>
      </c>
      <c r="P49" s="415" t="e">
        <f t="shared" si="3"/>
        <v>#VALUE!</v>
      </c>
      <c r="Q49" s="392" t="e">
        <f t="shared" si="31"/>
        <v>#VALUE!</v>
      </c>
      <c r="R49" s="389">
        <f>D$23+D28</f>
        <v>0</v>
      </c>
      <c r="S49" s="389">
        <f>IF(R49&lt;2,0,IF(Q49&lt;=0,1,0))</f>
        <v>0</v>
      </c>
      <c r="T49" s="389" t="e">
        <f>MAX(T$18:T48)+S49</f>
        <v>#VALUE!</v>
      </c>
      <c r="U49" t="str">
        <f>IF(S49=1,Sprachen!$E$331&amp;K49,"")</f>
        <v/>
      </c>
      <c r="V49" s="388">
        <v>31</v>
      </c>
      <c r="W49" t="e">
        <f t="shared" si="4"/>
        <v>#N/A</v>
      </c>
    </row>
    <row r="50" spans="1:23" x14ac:dyDescent="0.25">
      <c r="A50" t="e">
        <f>SUM(A47:A49)</f>
        <v>#VALUE!</v>
      </c>
      <c r="B50" s="32"/>
      <c r="M50" s="139"/>
      <c r="O50" s="139"/>
      <c r="P50" s="415"/>
      <c r="S50" s="389">
        <f t="shared" si="11"/>
        <v>0</v>
      </c>
      <c r="T50" s="389" t="e">
        <f>MAX(T$18:T49)+S50</f>
        <v>#VALUE!</v>
      </c>
      <c r="U50" t="str">
        <f>IF(S50=1,Sprachen!$E$331&amp;K50,"")</f>
        <v/>
      </c>
      <c r="V50" s="388">
        <v>32</v>
      </c>
      <c r="W50" t="e">
        <f t="shared" si="4"/>
        <v>#N/A</v>
      </c>
    </row>
    <row r="51" spans="1:23" x14ac:dyDescent="0.25">
      <c r="K51" s="391" t="str">
        <f>$A$24&amp;Sprachen!$E$313&amp;A25</f>
        <v>Entrata 4 con Entrata 5</v>
      </c>
      <c r="L51" s="392" t="e">
        <f>$F$24-F25</f>
        <v>#VALUE!</v>
      </c>
      <c r="M51" s="415" t="e">
        <f>IF(SIGN(L51)=-1,-L51,L51)</f>
        <v>#VALUE!</v>
      </c>
      <c r="N51" s="392">
        <f>$G$24-G25</f>
        <v>0</v>
      </c>
      <c r="O51" s="415">
        <f>IF(IF(SIGN(N51)=-1,-N51,N51)=0,0.0001,IF(SIGN(N51)=-1,-N51,N51))</f>
        <v>1E-4</v>
      </c>
      <c r="P51" s="415" t="e">
        <f t="shared" si="3"/>
        <v>#VALUE!</v>
      </c>
      <c r="Q51" s="392" t="e">
        <f>P51-$I$24-I25</f>
        <v>#VALUE!</v>
      </c>
      <c r="R51" s="389">
        <f>D$24+D25</f>
        <v>0</v>
      </c>
      <c r="S51" s="389">
        <f t="shared" si="11"/>
        <v>0</v>
      </c>
      <c r="T51" s="389" t="e">
        <f>MAX(T$18:T50)+S51</f>
        <v>#VALUE!</v>
      </c>
      <c r="U51" t="str">
        <f>IF(S51=1,Sprachen!$E$331&amp;K51,"")</f>
        <v/>
      </c>
      <c r="V51" s="388">
        <v>33</v>
      </c>
      <c r="W51" t="e">
        <f t="shared" si="4"/>
        <v>#N/A</v>
      </c>
    </row>
    <row r="52" spans="1:23" x14ac:dyDescent="0.25">
      <c r="K52" s="391" t="str">
        <f>$A$24&amp;Sprachen!$E$313&amp;A26</f>
        <v>Entrata 4 con Entrata 6</v>
      </c>
      <c r="L52" s="392" t="e">
        <f t="shared" ref="L52:L54" si="32">$F$24-F26</f>
        <v>#VALUE!</v>
      </c>
      <c r="M52" s="415" t="e">
        <f t="shared" ref="M52:M54" si="33">IF(SIGN(L52)=-1,-L52,L52)</f>
        <v>#VALUE!</v>
      </c>
      <c r="N52" s="392">
        <f t="shared" ref="N52:N54" si="34">$G$24-G26</f>
        <v>0</v>
      </c>
      <c r="O52" s="415">
        <f t="shared" ref="O52:O54" si="35">IF(IF(SIGN(N52)=-1,-N52,N52)=0,0.0001,IF(SIGN(N52)=-1,-N52,N52))</f>
        <v>1E-4</v>
      </c>
      <c r="P52" s="415" t="e">
        <f t="shared" si="3"/>
        <v>#VALUE!</v>
      </c>
      <c r="Q52" s="392" t="e">
        <f>P52-$I$24-I26</f>
        <v>#VALUE!</v>
      </c>
      <c r="R52" s="389">
        <f>D$24+D26</f>
        <v>0</v>
      </c>
      <c r="S52" s="389">
        <f t="shared" si="11"/>
        <v>0</v>
      </c>
      <c r="T52" s="389" t="e">
        <f>MAX(T$18:T51)+S52</f>
        <v>#VALUE!</v>
      </c>
      <c r="U52" t="str">
        <f>IF(S52=1,Sprachen!$E$331&amp;K52,"")</f>
        <v/>
      </c>
      <c r="V52" s="388">
        <v>34</v>
      </c>
      <c r="W52" t="e">
        <f t="shared" si="4"/>
        <v>#N/A</v>
      </c>
    </row>
    <row r="53" spans="1:23" x14ac:dyDescent="0.25">
      <c r="B53" t="s">
        <v>1074</v>
      </c>
      <c r="K53" s="391" t="str">
        <f>$A$24&amp;Sprachen!$E$313&amp;A27</f>
        <v>Entrata 4 con Entrata 7</v>
      </c>
      <c r="L53" s="392" t="e">
        <f>$F$24-F27</f>
        <v>#VALUE!</v>
      </c>
      <c r="M53" s="415" t="e">
        <f t="shared" si="33"/>
        <v>#VALUE!</v>
      </c>
      <c r="N53" s="392">
        <f t="shared" si="34"/>
        <v>0</v>
      </c>
      <c r="O53" s="415">
        <f t="shared" si="35"/>
        <v>1E-4</v>
      </c>
      <c r="P53" s="415" t="e">
        <f t="shared" si="3"/>
        <v>#VALUE!</v>
      </c>
      <c r="Q53" s="392" t="e">
        <f t="shared" ref="Q53:Q54" si="36">P53-$I$24-I27</f>
        <v>#VALUE!</v>
      </c>
      <c r="R53" s="389">
        <f t="shared" ref="R53:R54" si="37">D$24+D27</f>
        <v>0</v>
      </c>
      <c r="S53" s="389">
        <f t="shared" si="11"/>
        <v>0</v>
      </c>
      <c r="T53" s="389" t="e">
        <f>MAX(T$18:T52)+S53</f>
        <v>#VALUE!</v>
      </c>
      <c r="U53" t="str">
        <f>IF(S53=1,Sprachen!$E$331&amp;K53,"")</f>
        <v/>
      </c>
      <c r="V53" s="388">
        <v>35</v>
      </c>
      <c r="W53" t="e">
        <f t="shared" si="4"/>
        <v>#N/A</v>
      </c>
    </row>
    <row r="54" spans="1:23" x14ac:dyDescent="0.25">
      <c r="B54">
        <f>Tabelle3!$M$39</f>
        <v>170</v>
      </c>
      <c r="C54" t="e">
        <f>Tabelle3!AA18-B54</f>
        <v>#VALUE!</v>
      </c>
      <c r="K54" s="391" t="str">
        <f>$A$24&amp;Sprachen!$E$313&amp;A28</f>
        <v>Entrata 4 con Entrata 8</v>
      </c>
      <c r="L54" s="392" t="e">
        <f t="shared" si="32"/>
        <v>#VALUE!</v>
      </c>
      <c r="M54" s="415" t="e">
        <f t="shared" si="33"/>
        <v>#VALUE!</v>
      </c>
      <c r="N54" s="392">
        <f t="shared" si="34"/>
        <v>0</v>
      </c>
      <c r="O54" s="415">
        <f t="shared" si="35"/>
        <v>1E-4</v>
      </c>
      <c r="P54" s="415" t="e">
        <f t="shared" si="3"/>
        <v>#VALUE!</v>
      </c>
      <c r="Q54" s="392" t="e">
        <f t="shared" si="36"/>
        <v>#VALUE!</v>
      </c>
      <c r="R54" s="389">
        <f t="shared" si="37"/>
        <v>0</v>
      </c>
      <c r="S54" s="389">
        <f t="shared" si="11"/>
        <v>0</v>
      </c>
      <c r="T54" s="389" t="e">
        <f>MAX(T$18:T53)+S54</f>
        <v>#VALUE!</v>
      </c>
      <c r="U54" t="str">
        <f>IF(S54=1,Sprachen!$E$331&amp;K54,"")</f>
        <v/>
      </c>
      <c r="V54" s="388">
        <v>36</v>
      </c>
      <c r="W54" t="e">
        <f t="shared" si="4"/>
        <v>#N/A</v>
      </c>
    </row>
    <row r="55" spans="1:23" x14ac:dyDescent="0.25">
      <c r="C55" t="e">
        <f>Tabelle3!AA23-Kollision!B54</f>
        <v>#VALUE!</v>
      </c>
      <c r="M55" s="139"/>
      <c r="O55" s="139"/>
      <c r="P55" s="415"/>
      <c r="S55" s="389">
        <f t="shared" si="11"/>
        <v>0</v>
      </c>
      <c r="T55" s="389" t="e">
        <f>MAX(T$18:T54)+S55</f>
        <v>#VALUE!</v>
      </c>
      <c r="U55" t="str">
        <f>IF(S55=1,Sprachen!$E$331&amp;K55,"")</f>
        <v/>
      </c>
      <c r="V55" s="388">
        <v>37</v>
      </c>
      <c r="W55" t="e">
        <f t="shared" si="4"/>
        <v>#N/A</v>
      </c>
    </row>
    <row r="56" spans="1:23" x14ac:dyDescent="0.25">
      <c r="C56" t="str">
        <f>IFERROR(Tabelle3!AA26-Kollision!B54,"")</f>
        <v/>
      </c>
      <c r="K56" s="391" t="str">
        <f>$A$25&amp;Sprachen!$E$313&amp;A26</f>
        <v>Entrata 5 con Entrata 6</v>
      </c>
      <c r="L56" s="392" t="e">
        <f>$F$25-F26</f>
        <v>#VALUE!</v>
      </c>
      <c r="M56" s="415" t="e">
        <f>IF(SIGN(L56)=-1,-L56,L56)</f>
        <v>#VALUE!</v>
      </c>
      <c r="N56" s="392">
        <f>$G$25-G26</f>
        <v>0</v>
      </c>
      <c r="O56" s="415">
        <f>IF(IF(SIGN(N56)=-1,-N56,N56)=0,0.0001,IF(SIGN(N56)=-1,-N56,N56))</f>
        <v>1E-4</v>
      </c>
      <c r="P56" s="415" t="e">
        <f t="shared" si="3"/>
        <v>#VALUE!</v>
      </c>
      <c r="Q56" s="392" t="e">
        <f>P56-$I$25-I26</f>
        <v>#VALUE!</v>
      </c>
      <c r="R56" s="389">
        <f>D$25+D26</f>
        <v>0</v>
      </c>
      <c r="S56" s="389">
        <f t="shared" si="11"/>
        <v>0</v>
      </c>
      <c r="T56" s="389" t="e">
        <f>MAX(T$18:T55)+S56</f>
        <v>#VALUE!</v>
      </c>
      <c r="U56" t="str">
        <f>IF(S56=1,Sprachen!$E$331&amp;K56,"")</f>
        <v/>
      </c>
      <c r="V56" s="388">
        <v>38</v>
      </c>
      <c r="W56" t="e">
        <f t="shared" si="4"/>
        <v>#N/A</v>
      </c>
    </row>
    <row r="57" spans="1:23" x14ac:dyDescent="0.25">
      <c r="K57" s="391" t="str">
        <f>$A$25&amp;Sprachen!$E$313&amp;A27</f>
        <v>Entrata 5 con Entrata 7</v>
      </c>
      <c r="L57" s="392" t="e">
        <f t="shared" ref="L57:L58" si="38">$F$25-F27</f>
        <v>#VALUE!</v>
      </c>
      <c r="M57" s="415" t="e">
        <f t="shared" ref="M57:M58" si="39">IF(SIGN(L57)=-1,-L57,L57)</f>
        <v>#VALUE!</v>
      </c>
      <c r="N57" s="392">
        <f t="shared" ref="N57:N58" si="40">$G$25-G27</f>
        <v>0</v>
      </c>
      <c r="O57" s="415">
        <f t="shared" ref="O57:O58" si="41">IF(IF(SIGN(N57)=-1,-N57,N57)=0,0.0001,IF(SIGN(N57)=-1,-N57,N57))</f>
        <v>1E-4</v>
      </c>
      <c r="P57" s="415" t="e">
        <f t="shared" si="3"/>
        <v>#VALUE!</v>
      </c>
      <c r="Q57" s="392" t="e">
        <f>P57-$I$25-I27</f>
        <v>#VALUE!</v>
      </c>
      <c r="R57" s="389">
        <f t="shared" ref="R57:R58" si="42">D$25+D27</f>
        <v>0</v>
      </c>
      <c r="S57" s="389">
        <f t="shared" si="11"/>
        <v>0</v>
      </c>
      <c r="T57" s="389" t="e">
        <f>MAX(T$18:T56)+S57</f>
        <v>#VALUE!</v>
      </c>
      <c r="U57" t="str">
        <f>IF(S57=1,Sprachen!$E$331&amp;K57,"")</f>
        <v/>
      </c>
      <c r="V57" s="388">
        <v>39</v>
      </c>
      <c r="W57" t="e">
        <f t="shared" si="4"/>
        <v>#N/A</v>
      </c>
    </row>
    <row r="58" spans="1:23" x14ac:dyDescent="0.25">
      <c r="K58" s="391" t="str">
        <f>$A$25&amp;Sprachen!$E$313&amp;A28</f>
        <v>Entrata 5 con Entrata 8</v>
      </c>
      <c r="L58" s="392" t="e">
        <f t="shared" si="38"/>
        <v>#VALUE!</v>
      </c>
      <c r="M58" s="415" t="e">
        <f t="shared" si="39"/>
        <v>#VALUE!</v>
      </c>
      <c r="N58" s="392">
        <f t="shared" si="40"/>
        <v>0</v>
      </c>
      <c r="O58" s="415">
        <f t="shared" si="41"/>
        <v>1E-4</v>
      </c>
      <c r="P58" s="415" t="e">
        <f t="shared" si="3"/>
        <v>#VALUE!</v>
      </c>
      <c r="Q58" s="392" t="e">
        <f t="shared" ref="Q58" si="43">P58-$I$25-I28</f>
        <v>#VALUE!</v>
      </c>
      <c r="R58" s="389">
        <f t="shared" si="42"/>
        <v>0</v>
      </c>
      <c r="S58" s="389">
        <f t="shared" si="11"/>
        <v>0</v>
      </c>
      <c r="T58" s="389" t="e">
        <f>MAX(T$18:T57)+S58</f>
        <v>#VALUE!</v>
      </c>
      <c r="U58" t="str">
        <f>IF(S58=1,Sprachen!$E$331&amp;K58,"")</f>
        <v/>
      </c>
      <c r="V58" s="388">
        <v>40</v>
      </c>
      <c r="W58" t="e">
        <f t="shared" si="4"/>
        <v>#N/A</v>
      </c>
    </row>
    <row r="59" spans="1:23" x14ac:dyDescent="0.25">
      <c r="M59" s="139"/>
      <c r="O59" s="139"/>
      <c r="P59" s="415"/>
      <c r="S59" s="389">
        <f t="shared" si="11"/>
        <v>0</v>
      </c>
      <c r="T59" s="389" t="e">
        <f>MAX(T$18:T58)+S59</f>
        <v>#VALUE!</v>
      </c>
      <c r="U59" t="str">
        <f>IF(S59=1,Sprachen!$E$331&amp;K59,"")</f>
        <v/>
      </c>
      <c r="V59" s="388">
        <v>41</v>
      </c>
      <c r="W59" t="e">
        <f t="shared" si="4"/>
        <v>#N/A</v>
      </c>
    </row>
    <row r="60" spans="1:23" x14ac:dyDescent="0.25">
      <c r="K60" s="391" t="str">
        <f>$A$26&amp;Sprachen!$E$313&amp;A27</f>
        <v>Entrata 6 con Entrata 7</v>
      </c>
      <c r="L60" s="392" t="e">
        <f>$F$26-F27</f>
        <v>#VALUE!</v>
      </c>
      <c r="M60" s="415" t="e">
        <f>IF(SIGN(L60)=-1,-L60,L60)</f>
        <v>#VALUE!</v>
      </c>
      <c r="N60" s="392">
        <f>$G$26-G27</f>
        <v>0</v>
      </c>
      <c r="O60" s="415">
        <f>IF(IF(SIGN(N60)=-1,-N60,N60)=0,0.0001,IF(SIGN(N60)=-1,-N60,N60))</f>
        <v>1E-4</v>
      </c>
      <c r="P60" s="415" t="e">
        <f t="shared" si="3"/>
        <v>#VALUE!</v>
      </c>
      <c r="Q60" s="392" t="e">
        <f>P60-$I$26-I27</f>
        <v>#VALUE!</v>
      </c>
      <c r="R60" s="389">
        <f>D$26+D27</f>
        <v>0</v>
      </c>
      <c r="S60" s="389">
        <f t="shared" si="11"/>
        <v>0</v>
      </c>
      <c r="T60" s="389" t="e">
        <f>MAX(T$18:T59)+S60</f>
        <v>#VALUE!</v>
      </c>
      <c r="U60" t="str">
        <f>IF(S60=1,Sprachen!$E$331&amp;K60,"")</f>
        <v/>
      </c>
      <c r="V60" s="388">
        <v>42</v>
      </c>
      <c r="W60" t="e">
        <f t="shared" si="4"/>
        <v>#N/A</v>
      </c>
    </row>
    <row r="61" spans="1:23" x14ac:dyDescent="0.25">
      <c r="K61" s="391" t="str">
        <f>$A$26&amp;Sprachen!$E$313&amp;A28</f>
        <v>Entrata 6 con Entrata 8</v>
      </c>
      <c r="L61" s="392" t="e">
        <f t="shared" ref="L61" si="44">$F$26-F28</f>
        <v>#VALUE!</v>
      </c>
      <c r="M61" s="415" t="e">
        <f t="shared" ref="M61" si="45">IF(SIGN(L61)=-1,-L61,L61)</f>
        <v>#VALUE!</v>
      </c>
      <c r="N61" s="392">
        <f t="shared" ref="N61" si="46">$G$26-G28</f>
        <v>0</v>
      </c>
      <c r="O61" s="415">
        <f t="shared" ref="O61" si="47">IF(IF(SIGN(N61)=-1,-N61,N61)=0,0.0001,IF(SIGN(N61)=-1,-N61,N61))</f>
        <v>1E-4</v>
      </c>
      <c r="P61" s="415" t="e">
        <f>SQRT((M61*M61)+(O61*O61))</f>
        <v>#VALUE!</v>
      </c>
      <c r="Q61" s="392" t="e">
        <f t="shared" ref="Q61" si="48">P61-$I$26-I28</f>
        <v>#VALUE!</v>
      </c>
      <c r="R61" s="389">
        <f>D$26+D28</f>
        <v>0</v>
      </c>
      <c r="S61" s="389">
        <f t="shared" si="11"/>
        <v>0</v>
      </c>
      <c r="T61" s="389" t="e">
        <f>MAX(T$18:T60)+S61</f>
        <v>#VALUE!</v>
      </c>
      <c r="U61" t="str">
        <f>IF(S61=1,Sprachen!$E$331&amp;K61,"")</f>
        <v/>
      </c>
      <c r="V61" s="388">
        <v>43</v>
      </c>
      <c r="W61" t="e">
        <f t="shared" si="4"/>
        <v>#N/A</v>
      </c>
    </row>
    <row r="62" spans="1:23" x14ac:dyDescent="0.25">
      <c r="M62" s="139"/>
      <c r="O62" s="139"/>
      <c r="P62" s="415"/>
      <c r="S62" s="389">
        <f t="shared" si="11"/>
        <v>0</v>
      </c>
      <c r="T62" s="389" t="e">
        <f>MAX(T$18:T61)+S62</f>
        <v>#VALUE!</v>
      </c>
      <c r="U62" t="str">
        <f>IF(S62=1,Sprachen!$E$331&amp;K62,"")</f>
        <v/>
      </c>
      <c r="V62" s="388">
        <v>44</v>
      </c>
      <c r="W62" t="e">
        <f t="shared" si="4"/>
        <v>#N/A</v>
      </c>
    </row>
    <row r="63" spans="1:23" x14ac:dyDescent="0.25">
      <c r="K63" s="391" t="str">
        <f>$A$27&amp;Sprachen!E313&amp;A28</f>
        <v>Entrata 7 con Entrata 8</v>
      </c>
      <c r="L63" s="392" t="e">
        <f>$F$27-F28</f>
        <v>#VALUE!</v>
      </c>
      <c r="M63" s="415" t="e">
        <f>IF(SIGN(L63)=-1,-L63,L63)</f>
        <v>#VALUE!</v>
      </c>
      <c r="N63" s="392">
        <f>$G$27-G28</f>
        <v>0</v>
      </c>
      <c r="O63" s="415">
        <f>IF(IF(SIGN(N63)=-1,-N63,N63)=0,0.0001,IF(SIGN(N63)=-1,-N63,N63))</f>
        <v>1E-4</v>
      </c>
      <c r="P63" s="415" t="e">
        <f t="shared" si="3"/>
        <v>#VALUE!</v>
      </c>
      <c r="Q63" s="392" t="e">
        <f>P63-$I$27-I28</f>
        <v>#VALUE!</v>
      </c>
      <c r="R63" s="389">
        <f>D$27+D28</f>
        <v>0</v>
      </c>
      <c r="S63" s="389">
        <f t="shared" si="11"/>
        <v>0</v>
      </c>
      <c r="T63" s="389" t="e">
        <f>MAX(T$18:T62)+S63</f>
        <v>#VALUE!</v>
      </c>
      <c r="U63" t="str">
        <f>IF(S63=1,Sprachen!$E$331&amp;K63,"")</f>
        <v/>
      </c>
      <c r="V63" s="388">
        <v>45</v>
      </c>
      <c r="W63" t="e">
        <f t="shared" si="4"/>
        <v>#N/A</v>
      </c>
    </row>
    <row r="64" spans="1:23" x14ac:dyDescent="0.25">
      <c r="M64" s="139"/>
      <c r="O64" s="139"/>
      <c r="P64" s="415"/>
      <c r="T64" s="389" t="e">
        <f>MAX(T$18:T63)+S64</f>
        <v>#VALUE!</v>
      </c>
      <c r="U64" t="str">
        <f>IF(S64=1,Sprachen!$E$331&amp;K64,"")</f>
        <v/>
      </c>
      <c r="V64" s="388">
        <v>46</v>
      </c>
      <c r="W64" t="e">
        <f t="shared" si="4"/>
        <v>#N/A</v>
      </c>
    </row>
    <row r="65" spans="11:23" x14ac:dyDescent="0.25">
      <c r="K65" s="402" t="str">
        <f>A20&amp;Sprachen!E313&amp;A19</f>
        <v>Guaina per cavi elettrici con Condotta di mandata pompa</v>
      </c>
      <c r="L65" s="389" t="e">
        <f>F19-F20</f>
        <v>#VALUE!</v>
      </c>
      <c r="M65" s="415" t="e">
        <f>IF(SIGN(L65)=-1,-L65,L65)</f>
        <v>#VALUE!</v>
      </c>
      <c r="N65" s="401" t="e">
        <f>D13-G20</f>
        <v>#VALUE!</v>
      </c>
      <c r="O65" s="415" t="e">
        <f>IF(IF(SIGN(N65)=-1,-N65,N65)=0,0.0001,IF(SIGN(N65)=-1,-N65,N65))</f>
        <v>#VALUE!</v>
      </c>
      <c r="P65" s="415" t="e">
        <f t="shared" si="3"/>
        <v>#VALUE!</v>
      </c>
      <c r="Q65" s="389" t="e">
        <f>P65-I19-I20</f>
        <v>#VALUE!</v>
      </c>
      <c r="R65" s="389">
        <f>D$19+D20</f>
        <v>2</v>
      </c>
      <c r="S65" s="389" t="e">
        <f>IF(R65&lt;2,0,IF(Q65&lt;=0,1,0))</f>
        <v>#VALUE!</v>
      </c>
      <c r="T65" s="389" t="e">
        <f>MAX(T$18:T64)+S65</f>
        <v>#VALUE!</v>
      </c>
      <c r="U65" t="e">
        <f>IF(S65=1,Sprachen!$E$331&amp;K65,"")</f>
        <v>#VALUE!</v>
      </c>
      <c r="V65" s="388">
        <v>47</v>
      </c>
      <c r="W65" t="e">
        <f t="shared" si="4"/>
        <v>#N/A</v>
      </c>
    </row>
    <row r="66" spans="11:23" x14ac:dyDescent="0.25">
      <c r="M66" s="139"/>
      <c r="O66" s="139"/>
      <c r="P66" s="139"/>
      <c r="T66" s="389" t="e">
        <f>MAX(T$18:T65)+S66</f>
        <v>#VALUE!</v>
      </c>
      <c r="U66" t="str">
        <f>IF(S66=1,Sprachen!$E$331&amp;K66,"")</f>
        <v/>
      </c>
      <c r="V66" s="388">
        <v>48</v>
      </c>
      <c r="W66" t="e">
        <f t="shared" si="4"/>
        <v>#N/A</v>
      </c>
    </row>
    <row r="67" spans="11:23" x14ac:dyDescent="0.25">
      <c r="K67" s="402" t="str">
        <f>A29&amp;Sprachen!E313&amp;A20</f>
        <v>Condotta di mandata pompa 2 con Guaina per cavi elettrici</v>
      </c>
      <c r="L67" s="389" t="e">
        <f>F20-F29</f>
        <v>#VALUE!</v>
      </c>
      <c r="M67" s="415" t="e">
        <f>IF(SIGN(L67)=-1,-L67,L67)</f>
        <v>#VALUE!</v>
      </c>
      <c r="N67" s="403">
        <f>D13-G29</f>
        <v>3141.5899999999997</v>
      </c>
      <c r="O67" s="415">
        <f>IF(IF(SIGN(N67)=-1,-N67,N67)=0,0.0001,IF(SIGN(N67)=-1,-N67,N67))</f>
        <v>3141.5899999999997</v>
      </c>
      <c r="P67" s="415" t="e">
        <f>SQRT((M67*M67)+(O67*O67))</f>
        <v>#VALUE!</v>
      </c>
      <c r="Q67" s="389" t="e">
        <f>P67-I20-I29</f>
        <v>#VALUE!</v>
      </c>
      <c r="R67" s="389">
        <f>D$20+D29</f>
        <v>1</v>
      </c>
      <c r="S67" s="389">
        <f>IF(R67&lt;2,0,IF(Q67&lt;=0,1,0))</f>
        <v>0</v>
      </c>
      <c r="T67" s="389" t="e">
        <f>MAX(T$18:T66)+S67</f>
        <v>#VALUE!</v>
      </c>
      <c r="U67" t="str">
        <f>IF(S67=1,Sprachen!$E$331&amp;K67,"")</f>
        <v/>
      </c>
      <c r="V67" s="388">
        <v>49</v>
      </c>
      <c r="W67" t="e">
        <f t="shared" si="4"/>
        <v>#N/A</v>
      </c>
    </row>
    <row r="68" spans="11:23" x14ac:dyDescent="0.25">
      <c r="K68" s="391" t="str">
        <f>A20&amp;Sprachen!E313&amp;A29</f>
        <v>Guaina per cavi elettrici con Condotta di mandata pompa 2</v>
      </c>
      <c r="L68" s="389" t="e">
        <f>F20-F29</f>
        <v>#VALUE!</v>
      </c>
      <c r="M68" s="416" t="e">
        <f>IF(SIGN(L68)=-1,-L68,L68)</f>
        <v>#VALUE!</v>
      </c>
      <c r="N68" s="389" t="e">
        <f>G29-G20</f>
        <v>#VALUE!</v>
      </c>
      <c r="O68" s="416" t="e">
        <f>IF(IF(SIGN(N68)=-1,-N68,N68)=0,0.0001,IF(SIGN(N68)=-1,-N68,N68))</f>
        <v>#VALUE!</v>
      </c>
      <c r="P68" s="416" t="e">
        <f>SQRT((M68*M68)+(O68*O68))</f>
        <v>#VALUE!</v>
      </c>
      <c r="Q68" s="389" t="e">
        <f>P68-I20-I29</f>
        <v>#VALUE!</v>
      </c>
      <c r="R68" s="389">
        <f>D$20+D29</f>
        <v>1</v>
      </c>
      <c r="S68" s="389">
        <f>IF(R68&lt;2,0,IF(Q68&lt;=0,1,0))</f>
        <v>0</v>
      </c>
      <c r="T68" s="389" t="e">
        <f>MAX(T$18:T67)+S68</f>
        <v>#VALUE!</v>
      </c>
      <c r="U68" t="str">
        <f>IF(S68=1,Sprachen!$E$331&amp;K68,"")</f>
        <v/>
      </c>
      <c r="V68" s="388">
        <v>50</v>
      </c>
      <c r="W68" t="e">
        <f t="shared" si="4"/>
        <v>#N/A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3:AQ132"/>
  <sheetViews>
    <sheetView zoomScale="85" zoomScaleNormal="85" zoomScalePageLayoutView="75" workbookViewId="0">
      <selection activeCell="E13" sqref="E13"/>
    </sheetView>
  </sheetViews>
  <sheetFormatPr baseColWidth="10" defaultRowHeight="15" x14ac:dyDescent="0.25"/>
  <cols>
    <col min="11" max="11" width="18.7109375" bestFit="1" customWidth="1"/>
    <col min="12" max="13" width="18.7109375" customWidth="1"/>
    <col min="14" max="14" width="44.28515625" customWidth="1"/>
    <col min="15" max="15" width="2.85546875" customWidth="1"/>
    <col min="16" max="16" width="2.7109375" customWidth="1"/>
    <col min="17" max="17" width="13.5703125" customWidth="1"/>
    <col min="18" max="18" width="2.5703125" customWidth="1"/>
    <col min="19" max="19" width="2.7109375" customWidth="1"/>
    <col min="20" max="20" width="13" bestFit="1" customWidth="1"/>
    <col min="21" max="22" width="3" customWidth="1"/>
    <col min="23" max="23" width="11.7109375" customWidth="1"/>
    <col min="24" max="24" width="3" customWidth="1"/>
    <col min="25" max="25" width="3.140625" customWidth="1"/>
    <col min="26" max="26" width="12" customWidth="1"/>
    <col min="27" max="27" width="2.85546875" customWidth="1"/>
    <col min="28" max="28" width="3" customWidth="1"/>
    <col min="29" max="29" width="12.42578125" customWidth="1"/>
    <col min="30" max="31" width="2.5703125" customWidth="1"/>
    <col min="32" max="32" width="14" bestFit="1" customWidth="1"/>
    <col min="33" max="34" width="2" bestFit="1" customWidth="1"/>
    <col min="36" max="37" width="2" bestFit="1" customWidth="1"/>
    <col min="38" max="38" width="12.7109375" customWidth="1"/>
    <col min="40" max="40" width="14.85546875" customWidth="1"/>
  </cols>
  <sheetData>
    <row r="3" spans="1:26" x14ac:dyDescent="0.25">
      <c r="E3" t="s">
        <v>303</v>
      </c>
    </row>
    <row r="4" spans="1:26" x14ac:dyDescent="0.25">
      <c r="E4" t="b">
        <v>0</v>
      </c>
      <c r="G4" t="s">
        <v>939</v>
      </c>
      <c r="K4" t="s">
        <v>640</v>
      </c>
    </row>
    <row r="5" spans="1:26" ht="15.75" thickBot="1" x14ac:dyDescent="0.3">
      <c r="A5" t="s">
        <v>32</v>
      </c>
      <c r="E5" t="b">
        <v>0</v>
      </c>
      <c r="G5" t="b">
        <f>IF(OR(D11&gt;0.00001,E5=TRUE,E7=TRUE),TRUE,FALSE)</f>
        <v>0</v>
      </c>
    </row>
    <row r="6" spans="1:26" ht="15.75" thickBot="1" x14ac:dyDescent="0.3">
      <c r="A6" s="12" t="b">
        <v>0</v>
      </c>
      <c r="K6" t="s">
        <v>639</v>
      </c>
    </row>
    <row r="7" spans="1:26" ht="15.75" thickBot="1" x14ac:dyDescent="0.3">
      <c r="A7" s="13" t="b">
        <v>0</v>
      </c>
      <c r="E7" s="11" t="b">
        <v>0</v>
      </c>
      <c r="F7" t="s">
        <v>301</v>
      </c>
      <c r="J7" t="b">
        <v>0</v>
      </c>
      <c r="K7" t="s">
        <v>629</v>
      </c>
      <c r="M7">
        <f>IF(J7=TRUE,1,0)</f>
        <v>0</v>
      </c>
      <c r="N7">
        <f>IF(J7=TRUE,1,0)</f>
        <v>0</v>
      </c>
    </row>
    <row r="8" spans="1:26" x14ac:dyDescent="0.25">
      <c r="A8" s="13" t="b">
        <v>0</v>
      </c>
      <c r="E8" t="b">
        <v>0</v>
      </c>
      <c r="J8" t="b">
        <v>0</v>
      </c>
      <c r="K8" t="s">
        <v>630</v>
      </c>
      <c r="M8">
        <f>IF(J8=TRUE,0.6,0)</f>
        <v>0</v>
      </c>
      <c r="N8">
        <f t="shared" ref="N8:N18" si="0">IF(J8=TRUE,1,0)</f>
        <v>0</v>
      </c>
    </row>
    <row r="9" spans="1:26" ht="15.75" thickBot="1" x14ac:dyDescent="0.3">
      <c r="A9" s="14" t="b">
        <v>0</v>
      </c>
      <c r="D9" t="s">
        <v>305</v>
      </c>
      <c r="J9" t="b">
        <v>0</v>
      </c>
      <c r="K9" t="s">
        <v>631</v>
      </c>
      <c r="M9">
        <f>IF(J9=TRUE,0.6,0)</f>
        <v>0</v>
      </c>
      <c r="N9">
        <f t="shared" si="0"/>
        <v>0</v>
      </c>
      <c r="Q9" t="str">
        <f t="shared" ref="Q9:Q13" si="1">N23</f>
        <v xml:space="preserve">Höhe Nutzvolumen: </v>
      </c>
      <c r="T9" s="71" t="e">
        <f>IF(Schachtselector!$G$99/(4*4*3.14)*10&lt;20,20,Schachtselector!$G$99/(4*4*3.14)*10)</f>
        <v>#VALUE!</v>
      </c>
      <c r="W9" s="71" t="e">
        <f>IF(Schachtselector!$G$99/(5*5*3.14)*10&lt;20,20,Schachtselector!$G$99/(5*5*3.14)*10)</f>
        <v>#VALUE!</v>
      </c>
      <c r="Z9" s="71"/>
    </row>
    <row r="10" spans="1:26" ht="15.75" thickBot="1" x14ac:dyDescent="0.3">
      <c r="E10" s="175">
        <f>SUM(Schachtselector!G79:G83)</f>
        <v>0</v>
      </c>
      <c r="F10" t="s">
        <v>306</v>
      </c>
      <c r="G10" s="11">
        <f>IF(E10&lt;2,1,0)</f>
        <v>1</v>
      </c>
      <c r="H10" t="s">
        <v>307</v>
      </c>
      <c r="J10" t="b">
        <v>0</v>
      </c>
      <c r="K10" t="s">
        <v>632</v>
      </c>
      <c r="M10">
        <f>IF(J10=TRUE,0.6,0)</f>
        <v>0</v>
      </c>
      <c r="N10">
        <f t="shared" si="0"/>
        <v>0</v>
      </c>
      <c r="Q10" t="str">
        <f t="shared" si="1"/>
        <v xml:space="preserve">Höhe Reserve: </v>
      </c>
      <c r="T10" s="71" t="e">
        <f>(Schachtselector!$G$100/(4*4*3.14))*10</f>
        <v>#VALUE!</v>
      </c>
      <c r="W10" s="71" t="e">
        <f>(Schachtselector!$G$100/(5*5*3.14))*10</f>
        <v>#VALUE!</v>
      </c>
      <c r="Z10" s="71"/>
    </row>
    <row r="11" spans="1:26" ht="15.75" thickBot="1" x14ac:dyDescent="0.3">
      <c r="D11">
        <f>Schachtselector!G70</f>
        <v>0</v>
      </c>
      <c r="E11" s="14">
        <f>IF(D11&gt;0.9,1,0)</f>
        <v>0</v>
      </c>
      <c r="F11" t="s">
        <v>308</v>
      </c>
      <c r="J11" t="b">
        <v>0</v>
      </c>
      <c r="K11" t="s">
        <v>633</v>
      </c>
      <c r="M11">
        <f>IF(J11=TRUE,0.2,0)</f>
        <v>0</v>
      </c>
      <c r="N11">
        <f t="shared" si="0"/>
        <v>0</v>
      </c>
      <c r="Q11" t="str">
        <f t="shared" si="1"/>
        <v xml:space="preserve">Höhe Sumpf: </v>
      </c>
      <c r="T11" s="70">
        <f>Schachtselector!$E$118/10</f>
        <v>0</v>
      </c>
      <c r="W11" s="70">
        <f>Schachtselector!$E$118/10</f>
        <v>0</v>
      </c>
      <c r="Z11" s="70"/>
    </row>
    <row r="12" spans="1:26" x14ac:dyDescent="0.25">
      <c r="A12" t="s">
        <v>39</v>
      </c>
      <c r="J12" t="b">
        <v>0</v>
      </c>
      <c r="K12" t="s">
        <v>634</v>
      </c>
      <c r="M12">
        <f>IF(J12=TRUE,0.2,0)</f>
        <v>0</v>
      </c>
      <c r="N12">
        <f t="shared" si="0"/>
        <v>0</v>
      </c>
      <c r="Q12" t="str">
        <f t="shared" si="1"/>
        <v xml:space="preserve">Höhe Deckel: </v>
      </c>
      <c r="T12">
        <f>Tabelle3!$BD$65</f>
        <v>0</v>
      </c>
      <c r="W12">
        <f>Tabelle3!$BD$65</f>
        <v>0</v>
      </c>
    </row>
    <row r="13" spans="1:26" x14ac:dyDescent="0.25">
      <c r="A13">
        <v>0.03</v>
      </c>
      <c r="E13">
        <f>IF(AND(F13=1,G10=1),2,SUM(Schachtselector!G79:G87))</f>
        <v>0</v>
      </c>
      <c r="F13">
        <f>IF(OR(E7=TRUE,E11=1),1,0)</f>
        <v>0</v>
      </c>
      <c r="N13">
        <f t="shared" si="0"/>
        <v>0</v>
      </c>
      <c r="Q13" t="str">
        <f t="shared" si="1"/>
        <v xml:space="preserve">Höhe Boden: </v>
      </c>
      <c r="T13">
        <v>13</v>
      </c>
      <c r="W13">
        <v>17</v>
      </c>
    </row>
    <row r="14" spans="1:26" x14ac:dyDescent="0.25">
      <c r="K14" t="s">
        <v>638</v>
      </c>
      <c r="N14">
        <f t="shared" si="0"/>
        <v>0</v>
      </c>
    </row>
    <row r="15" spans="1:26" x14ac:dyDescent="0.25">
      <c r="E15" t="s">
        <v>328</v>
      </c>
      <c r="J15" t="b">
        <v>0</v>
      </c>
      <c r="K15" t="s">
        <v>635</v>
      </c>
      <c r="M15">
        <f>IF(J15=TRUE,0.1,0)</f>
        <v>0</v>
      </c>
      <c r="N15">
        <f t="shared" si="0"/>
        <v>0</v>
      </c>
      <c r="Q15" t="s">
        <v>1099</v>
      </c>
      <c r="T15" s="71" t="e">
        <f>SUM(T9:T14)</f>
        <v>#VALUE!</v>
      </c>
      <c r="W15" s="71" t="e">
        <f>SUM(W9:W13)</f>
        <v>#VALUE!</v>
      </c>
      <c r="Z15" s="71"/>
    </row>
    <row r="16" spans="1:26" x14ac:dyDescent="0.25">
      <c r="E16" t="b">
        <f>IF(OR(E7=TRUE,E4=TRUE,Schachtselector!G70&gt;0.1),TRUE,FALSE)</f>
        <v>0</v>
      </c>
      <c r="F16" t="s">
        <v>2132</v>
      </c>
      <c r="J16" t="b">
        <v>0</v>
      </c>
      <c r="K16" t="s">
        <v>636</v>
      </c>
      <c r="M16">
        <f>IF(J16=TRUE,0.2,0)</f>
        <v>0</v>
      </c>
      <c r="N16">
        <f t="shared" si="0"/>
        <v>0</v>
      </c>
      <c r="Q16" t="s">
        <v>121</v>
      </c>
      <c r="T16">
        <f>IF((T17/10)&lt;61.5,16,0)</f>
        <v>16</v>
      </c>
      <c r="W16">
        <f>IF((W17/10)&lt;82,28.5,0)</f>
        <v>28.5</v>
      </c>
    </row>
    <row r="17" spans="1:40" x14ac:dyDescent="0.25">
      <c r="F17">
        <v>2.2999999999999998</v>
      </c>
      <c r="J17" t="b">
        <v>0</v>
      </c>
      <c r="K17" t="s">
        <v>637</v>
      </c>
      <c r="M17">
        <f>IF(J17=TRUE,0.4,0)</f>
        <v>0</v>
      </c>
      <c r="N17">
        <f t="shared" si="0"/>
        <v>0</v>
      </c>
      <c r="Q17" t="s">
        <v>1100</v>
      </c>
      <c r="T17">
        <f>IF(Tabelle3!C25=TRUE,Schachtselector!$C$186+Schachtselector!$C$180,Schachtselector!$C$180)</f>
        <v>0</v>
      </c>
      <c r="W17" s="389">
        <f>IF(Tabelle3!C25=TRUE,Schachtselector!$C$186+Schachtselector!$C$180,Schachtselector!$C$180)</f>
        <v>0</v>
      </c>
      <c r="Z17" s="389"/>
    </row>
    <row r="18" spans="1:40" x14ac:dyDescent="0.25">
      <c r="F18">
        <v>2</v>
      </c>
      <c r="J18" t="b">
        <v>0</v>
      </c>
      <c r="K18" t="s">
        <v>2124</v>
      </c>
      <c r="M18">
        <f>IF(J18=TRUE,0.7,0)</f>
        <v>0</v>
      </c>
      <c r="N18">
        <f t="shared" si="0"/>
        <v>0</v>
      </c>
    </row>
    <row r="19" spans="1:40" ht="15.75" thickBot="1" x14ac:dyDescent="0.3">
      <c r="F19">
        <v>1</v>
      </c>
      <c r="M19" s="28">
        <f>IF(OR(N19&gt;1,N19=0),1,SUM(M7:M18))</f>
        <v>1</v>
      </c>
      <c r="N19">
        <f>SUM(N7:N18)</f>
        <v>0</v>
      </c>
      <c r="T19" s="10">
        <f>IF(T30="",0,T30)</f>
        <v>16</v>
      </c>
    </row>
    <row r="20" spans="1:40" ht="15.75" thickBot="1" x14ac:dyDescent="0.3">
      <c r="A20" t="s">
        <v>40</v>
      </c>
      <c r="F20">
        <v>0.7</v>
      </c>
    </row>
    <row r="21" spans="1:40" x14ac:dyDescent="0.25">
      <c r="Q21" s="20" t="s">
        <v>43</v>
      </c>
      <c r="R21" s="20"/>
      <c r="S21" s="20"/>
      <c r="T21" s="21" t="s">
        <v>113</v>
      </c>
      <c r="U21" s="21"/>
      <c r="V21" s="21"/>
      <c r="W21" s="20" t="s">
        <v>114</v>
      </c>
      <c r="X21" s="20"/>
      <c r="Y21" s="20"/>
      <c r="Z21" s="21" t="s">
        <v>115</v>
      </c>
      <c r="AA21" s="21"/>
      <c r="AB21" s="21"/>
      <c r="AC21" s="21" t="s">
        <v>118</v>
      </c>
      <c r="AD21" s="21"/>
      <c r="AE21" s="21"/>
      <c r="AF21" s="21" t="s">
        <v>119</v>
      </c>
      <c r="AG21" s="21"/>
      <c r="AH21" s="21"/>
      <c r="AI21" s="20" t="s">
        <v>116</v>
      </c>
      <c r="AJ21" s="90"/>
      <c r="AK21" s="90"/>
      <c r="AL21" s="22" t="s">
        <v>117</v>
      </c>
    </row>
    <row r="22" spans="1:40" ht="15.75" thickBot="1" x14ac:dyDescent="0.3">
      <c r="A22" t="s">
        <v>41</v>
      </c>
      <c r="N22" s="55" t="s">
        <v>101</v>
      </c>
      <c r="O22" s="55"/>
      <c r="P22" s="55"/>
      <c r="Q22">
        <v>600</v>
      </c>
      <c r="T22">
        <v>800</v>
      </c>
      <c r="W22">
        <v>1000</v>
      </c>
      <c r="Z22">
        <v>1250</v>
      </c>
      <c r="AC22">
        <v>1250</v>
      </c>
      <c r="AF22">
        <v>1250</v>
      </c>
      <c r="AI22">
        <v>1500</v>
      </c>
      <c r="AL22">
        <v>2000</v>
      </c>
    </row>
    <row r="23" spans="1:40" ht="15.75" thickBot="1" x14ac:dyDescent="0.3">
      <c r="A23" s="18" t="e">
        <f>Schachtselector!$G$100</f>
        <v>#VALUE!</v>
      </c>
      <c r="C23" s="19" t="s">
        <v>49</v>
      </c>
      <c r="D23" s="20" t="s">
        <v>43</v>
      </c>
      <c r="E23" s="21" t="s">
        <v>44</v>
      </c>
      <c r="F23" s="20" t="s">
        <v>45</v>
      </c>
      <c r="G23" s="21" t="s">
        <v>46</v>
      </c>
      <c r="H23" s="20" t="s">
        <v>47</v>
      </c>
      <c r="I23" s="22" t="s">
        <v>48</v>
      </c>
      <c r="J23" s="91"/>
      <c r="K23" s="91"/>
      <c r="L23" s="91"/>
      <c r="M23" s="91"/>
      <c r="N23" s="55" t="s">
        <v>95</v>
      </c>
      <c r="O23" s="55"/>
      <c r="P23" s="55"/>
      <c r="Q23" s="372" t="e">
        <f>IF(Schachtselector!$G$99/(2.95*2.95*3.14)*10&lt;20,20,Schachtselector!$G$99/(3*3*3.14)*10)</f>
        <v>#VALUE!</v>
      </c>
      <c r="R23" s="70"/>
      <c r="S23" s="70"/>
      <c r="T23" s="71" t="e">
        <f>IF(Schachtselector!$G$99/(4*4*3.14)*10&lt;20,20,Schachtselector!$G$99/(4*4*3.14)*10)</f>
        <v>#VALUE!</v>
      </c>
      <c r="U23" s="71"/>
      <c r="V23" s="71"/>
      <c r="W23" s="71" t="e">
        <f>IF(Schachtselector!$G$99/(5*5*3.14)*10&lt;20,20,Schachtselector!$G$99/(5*5*3.14)*10)</f>
        <v>#VALUE!</v>
      </c>
      <c r="X23" s="71"/>
      <c r="Y23" s="71"/>
      <c r="Z23" s="71" t="e">
        <f>IF(Schachtselector!$G$99/(6.25*6.25*3.14)*10&lt;20,20,(Schachtselector!$G$99/(6.25*6.25*3.14))*10)</f>
        <v>#VALUE!</v>
      </c>
      <c r="AA23" s="71"/>
      <c r="AB23" s="71"/>
      <c r="AC23" s="71" t="e">
        <f>IF(Schachtselector!$G$99/(6.25*6.25*3.14)*10&lt;20,20,(Schachtselector!$G$99/(6.25*6.25*3.14))*10)</f>
        <v>#VALUE!</v>
      </c>
      <c r="AD23" s="71"/>
      <c r="AE23" s="71"/>
      <c r="AF23" s="71" t="e">
        <f>IF(Schachtselector!$G$99/(6.25*6.25*3.14)*10&lt;20,20,(Schachtselector!$G$99/(6.25*6.25*3.14))*10)</f>
        <v>#VALUE!</v>
      </c>
      <c r="AG23" s="71"/>
      <c r="AH23" s="71"/>
      <c r="AI23" s="71" t="e">
        <f>IF(Schachtselector!$G$99/(7.5*7.5*3.14)*10&lt;20,20,Schachtselector!$G$99/(7.5*7.5*3.14)*10)</f>
        <v>#VALUE!</v>
      </c>
      <c r="AJ23" s="71"/>
      <c r="AK23" s="71"/>
      <c r="AL23" s="71" t="e">
        <f>IF(Schachtselector!$G$99/(10*10*3.14)*10&lt;20,20,Schachtselector!$G$99/(10*10*3.14)*10)</f>
        <v>#VALUE!</v>
      </c>
      <c r="AN23" s="17"/>
    </row>
    <row r="24" spans="1:40" ht="15.75" thickBot="1" x14ac:dyDescent="0.3">
      <c r="A24" t="s">
        <v>42</v>
      </c>
      <c r="C24" s="40" t="s">
        <v>52</v>
      </c>
      <c r="D24" s="24">
        <v>2.8</v>
      </c>
      <c r="E24" s="25">
        <v>5</v>
      </c>
      <c r="F24" s="24">
        <v>7.9</v>
      </c>
      <c r="G24" s="25">
        <v>12</v>
      </c>
      <c r="H24" s="24">
        <v>17.7</v>
      </c>
      <c r="I24" s="26">
        <v>31.4</v>
      </c>
      <c r="J24" s="181"/>
      <c r="K24" s="181"/>
      <c r="L24" s="181"/>
      <c r="M24" s="181"/>
      <c r="N24" s="55" t="s">
        <v>97</v>
      </c>
      <c r="O24" s="55"/>
      <c r="P24" s="55"/>
      <c r="Q24" s="372" t="e">
        <f>(Schachtselector!$G$100/(2.95*2.95*3.14))*10</f>
        <v>#VALUE!</v>
      </c>
      <c r="R24" s="70"/>
      <c r="S24" s="70"/>
      <c r="T24" s="71" t="e">
        <f>(Schachtselector!$G$100/(4*4*3.14))*10</f>
        <v>#VALUE!</v>
      </c>
      <c r="U24" s="71"/>
      <c r="V24" s="71"/>
      <c r="W24" s="71" t="e">
        <f>(Schachtselector!$G$100/(5*5*3.14))*10</f>
        <v>#VALUE!</v>
      </c>
      <c r="X24" s="71"/>
      <c r="Y24" s="71"/>
      <c r="Z24" s="71" t="e">
        <f>(Schachtselector!$G$100/(6.25*6.25*3.14))*10</f>
        <v>#VALUE!</v>
      </c>
      <c r="AA24" s="71"/>
      <c r="AB24" s="71"/>
      <c r="AC24" s="71" t="e">
        <f>(Schachtselector!$G$100/(6.25*6.25*3.14))*10</f>
        <v>#VALUE!</v>
      </c>
      <c r="AD24" s="71"/>
      <c r="AE24" s="71"/>
      <c r="AF24" s="71" t="e">
        <f>(Schachtselector!$G$100/(6.25*6.25*3.14))*10</f>
        <v>#VALUE!</v>
      </c>
      <c r="AG24" s="71"/>
      <c r="AH24" s="71"/>
      <c r="AI24" s="71" t="e">
        <f>(Schachtselector!$G$100/(7.5*7.5*3.14))*10</f>
        <v>#VALUE!</v>
      </c>
      <c r="AJ24" s="71"/>
      <c r="AK24" s="71"/>
      <c r="AL24" s="71" t="e">
        <f>(Schachtselector!$G$100/(10*10*3.14))*10</f>
        <v>#VALUE!</v>
      </c>
      <c r="AN24" s="91"/>
    </row>
    <row r="25" spans="1:40" x14ac:dyDescent="0.25">
      <c r="A25" s="18" t="str">
        <f>Schachtselector!$G$99</f>
        <v/>
      </c>
      <c r="C25" s="41" t="s">
        <v>51</v>
      </c>
      <c r="D25" s="36" t="e">
        <f t="shared" ref="D25:I25" si="2">$A$23/D24</f>
        <v>#VALUE!</v>
      </c>
      <c r="E25" s="29" t="e">
        <f t="shared" si="2"/>
        <v>#VALUE!</v>
      </c>
      <c r="F25" s="29" t="e">
        <f t="shared" si="2"/>
        <v>#VALUE!</v>
      </c>
      <c r="G25" s="29" t="e">
        <f t="shared" si="2"/>
        <v>#VALUE!</v>
      </c>
      <c r="H25" s="29" t="e">
        <f t="shared" si="2"/>
        <v>#VALUE!</v>
      </c>
      <c r="I25" s="30" t="e">
        <f t="shared" si="2"/>
        <v>#VALUE!</v>
      </c>
      <c r="J25" s="59"/>
      <c r="K25" s="59"/>
      <c r="L25" s="59"/>
      <c r="M25" s="59"/>
      <c r="N25" s="55" t="s">
        <v>96</v>
      </c>
      <c r="O25" s="55"/>
      <c r="P25" s="55"/>
      <c r="Q25" s="70">
        <f>Schachtselector!$E$118/10</f>
        <v>0</v>
      </c>
      <c r="R25" s="70"/>
      <c r="S25" s="70"/>
      <c r="T25" s="70">
        <f>Schachtselector!$E$118/10</f>
        <v>0</v>
      </c>
      <c r="U25" s="70"/>
      <c r="V25" s="70"/>
      <c r="W25" s="70">
        <f>Schachtselector!$E$118/10</f>
        <v>0</v>
      </c>
      <c r="X25" s="70"/>
      <c r="Y25" s="70"/>
      <c r="Z25" s="70">
        <f>Schachtselector!$E$118/10</f>
        <v>0</v>
      </c>
      <c r="AA25" s="70"/>
      <c r="AB25" s="70"/>
      <c r="AC25" s="70">
        <f>Schachtselector!$E$118/10</f>
        <v>0</v>
      </c>
      <c r="AD25" s="70"/>
      <c r="AE25" s="70"/>
      <c r="AF25" s="70">
        <f>Schachtselector!$E$118/10</f>
        <v>0</v>
      </c>
      <c r="AG25" s="70"/>
      <c r="AH25" s="70"/>
      <c r="AI25" s="70">
        <f>Schachtselector!$E$118/10</f>
        <v>0</v>
      </c>
      <c r="AJ25" s="70"/>
      <c r="AK25" s="70"/>
      <c r="AL25" s="70">
        <f>Schachtselector!$E$118/10</f>
        <v>0</v>
      </c>
      <c r="AN25" s="17"/>
    </row>
    <row r="26" spans="1:40" x14ac:dyDescent="0.25">
      <c r="C26" s="42" t="s">
        <v>50</v>
      </c>
      <c r="D26" s="37" t="e">
        <f t="shared" ref="D26:I26" si="3">$A$25/D24</f>
        <v>#VALUE!</v>
      </c>
      <c r="E26" s="27" t="e">
        <f t="shared" si="3"/>
        <v>#VALUE!</v>
      </c>
      <c r="F26" s="27" t="e">
        <f t="shared" si="3"/>
        <v>#VALUE!</v>
      </c>
      <c r="G26" s="27" t="e">
        <f t="shared" si="3"/>
        <v>#VALUE!</v>
      </c>
      <c r="H26" s="27" t="e">
        <f t="shared" si="3"/>
        <v>#VALUE!</v>
      </c>
      <c r="I26" s="31" t="e">
        <f t="shared" si="3"/>
        <v>#VALUE!</v>
      </c>
      <c r="J26" s="59"/>
      <c r="K26" s="59"/>
      <c r="L26" s="59"/>
      <c r="M26" s="59"/>
      <c r="N26" s="56" t="s">
        <v>100</v>
      </c>
      <c r="O26" s="56"/>
      <c r="P26" s="56"/>
      <c r="Q26">
        <v>6</v>
      </c>
      <c r="T26">
        <f>Tabelle3!$BD$65</f>
        <v>0</v>
      </c>
      <c r="W26">
        <f>Tabelle3!$BD$65</f>
        <v>0</v>
      </c>
      <c r="Z26">
        <v>10</v>
      </c>
      <c r="AC26">
        <v>10</v>
      </c>
      <c r="AF26">
        <v>10</v>
      </c>
      <c r="AI26">
        <v>10</v>
      </c>
      <c r="AL26">
        <v>10</v>
      </c>
      <c r="AN26" s="17"/>
    </row>
    <row r="27" spans="1:40" ht="15.75" thickBot="1" x14ac:dyDescent="0.3">
      <c r="A27" t="s">
        <v>67</v>
      </c>
      <c r="C27" s="43" t="s">
        <v>53</v>
      </c>
      <c r="D27" s="38"/>
      <c r="E27" s="32"/>
      <c r="F27" s="32"/>
      <c r="G27" s="32"/>
      <c r="H27" s="32"/>
      <c r="I27" s="33"/>
      <c r="J27" s="9"/>
      <c r="K27" s="9"/>
      <c r="L27" s="9"/>
      <c r="M27" s="9"/>
      <c r="N27" s="56" t="s">
        <v>99</v>
      </c>
      <c r="O27" s="56"/>
      <c r="P27" s="56"/>
      <c r="Q27">
        <v>3</v>
      </c>
      <c r="T27">
        <v>13</v>
      </c>
      <c r="W27">
        <v>17</v>
      </c>
      <c r="Z27">
        <v>9</v>
      </c>
      <c r="AC27">
        <v>9</v>
      </c>
      <c r="AF27">
        <v>9</v>
      </c>
      <c r="AI27">
        <v>7</v>
      </c>
      <c r="AL27">
        <v>7</v>
      </c>
      <c r="AN27" s="17"/>
    </row>
    <row r="28" spans="1:40" ht="15.75" thickBot="1" x14ac:dyDescent="0.3">
      <c r="A28" t="b">
        <v>0</v>
      </c>
      <c r="B28" t="str">
        <f>IF(A28=TRUE,"1","")</f>
        <v/>
      </c>
      <c r="C28" s="44" t="s">
        <v>25</v>
      </c>
      <c r="D28" s="39" t="e">
        <f t="shared" ref="D28:I28" si="4">SUM(D25:D27)</f>
        <v>#VALUE!</v>
      </c>
      <c r="E28" s="34" t="e">
        <f t="shared" si="4"/>
        <v>#VALUE!</v>
      </c>
      <c r="F28" s="34" t="e">
        <f t="shared" si="4"/>
        <v>#VALUE!</v>
      </c>
      <c r="G28" s="34" t="e">
        <f t="shared" si="4"/>
        <v>#VALUE!</v>
      </c>
      <c r="H28" s="34" t="e">
        <f t="shared" si="4"/>
        <v>#VALUE!</v>
      </c>
      <c r="I28" s="35" t="e">
        <f t="shared" si="4"/>
        <v>#VALUE!</v>
      </c>
      <c r="J28" s="180"/>
      <c r="K28" s="180"/>
      <c r="L28" s="180"/>
      <c r="M28" s="180"/>
      <c r="AN28" s="17"/>
    </row>
    <row r="29" spans="1:40" x14ac:dyDescent="0.25">
      <c r="A29" t="b">
        <v>0</v>
      </c>
      <c r="C29" s="52"/>
      <c r="N29" s="56" t="s">
        <v>120</v>
      </c>
      <c r="O29" s="56"/>
      <c r="P29" s="56"/>
      <c r="Z29">
        <v>23.4</v>
      </c>
      <c r="AC29">
        <v>23.4</v>
      </c>
      <c r="AN29" s="17"/>
    </row>
    <row r="30" spans="1:40" ht="15.75" thickBot="1" x14ac:dyDescent="0.3">
      <c r="A30" t="s">
        <v>57</v>
      </c>
      <c r="C30" s="52"/>
      <c r="N30" s="56" t="s">
        <v>121</v>
      </c>
      <c r="O30" s="56"/>
      <c r="P30" s="56"/>
      <c r="T30">
        <v>16</v>
      </c>
      <c r="W30">
        <v>28.5</v>
      </c>
      <c r="Z30">
        <v>23</v>
      </c>
      <c r="AN30" s="17"/>
    </row>
    <row r="31" spans="1:40" ht="15.75" thickBot="1" x14ac:dyDescent="0.3">
      <c r="A31" t="s">
        <v>58</v>
      </c>
      <c r="C31" s="52"/>
      <c r="E31" s="53" t="s">
        <v>77</v>
      </c>
      <c r="F31" s="53" t="s">
        <v>78</v>
      </c>
      <c r="G31" s="53" t="s">
        <v>79</v>
      </c>
      <c r="J31" s="182" t="s">
        <v>319</v>
      </c>
      <c r="K31" s="182" t="s">
        <v>327</v>
      </c>
      <c r="L31" s="182" t="s">
        <v>328</v>
      </c>
      <c r="M31" s="182" t="s">
        <v>329</v>
      </c>
      <c r="N31" s="56" t="s">
        <v>288</v>
      </c>
      <c r="O31" s="56"/>
      <c r="P31" s="56"/>
      <c r="T31" s="474" t="e">
        <f>ROUND(T32-T26+T34,1)</f>
        <v>#VALUE!</v>
      </c>
      <c r="W31" s="389" t="e">
        <f>W32-W26+W34</f>
        <v>#VALUE!</v>
      </c>
      <c r="AN31" s="17"/>
    </row>
    <row r="32" spans="1:40" x14ac:dyDescent="0.25">
      <c r="A32" t="s">
        <v>59</v>
      </c>
      <c r="B32" t="b">
        <v>0</v>
      </c>
      <c r="C32" s="52" t="str">
        <f>IF(B32=FALSE,"0",1)</f>
        <v>0</v>
      </c>
      <c r="D32" s="23" t="str">
        <f>C32</f>
        <v>0</v>
      </c>
      <c r="E32" s="23">
        <v>20</v>
      </c>
      <c r="G32" s="12" t="str">
        <f>IF(B32=TRUE,E32,"")</f>
        <v/>
      </c>
      <c r="I32" s="183" t="s">
        <v>320</v>
      </c>
      <c r="J32">
        <v>32</v>
      </c>
      <c r="K32" s="23">
        <f>Schachtselector!$G$97</f>
        <v>0</v>
      </c>
      <c r="L32" s="23">
        <f>((K32/3.6)/((J32/2)*(J32/2)*3.14159/1000000))/3600</f>
        <v>0</v>
      </c>
      <c r="M32" s="23" t="str">
        <f>IF(B32=TRUE,L32,"")</f>
        <v/>
      </c>
      <c r="N32" s="56" t="s">
        <v>94</v>
      </c>
      <c r="O32" s="56"/>
      <c r="P32" s="56"/>
      <c r="Q32" s="71" t="e">
        <f>SUM(Q23:Q30)</f>
        <v>#VALUE!</v>
      </c>
      <c r="R32" s="71"/>
      <c r="S32" s="71"/>
      <c r="T32" s="23" t="e">
        <f>SUM(T23:T30)</f>
        <v>#VALUE!</v>
      </c>
      <c r="U32" s="71"/>
      <c r="V32" s="71"/>
      <c r="W32" s="23" t="e">
        <f>SUM(W23:W30)</f>
        <v>#VALUE!</v>
      </c>
      <c r="X32" s="71"/>
      <c r="Y32" s="71"/>
      <c r="Z32" s="71" t="e">
        <f>SUM(Z23:Z30)</f>
        <v>#VALUE!</v>
      </c>
      <c r="AA32" s="71"/>
      <c r="AB32" s="71"/>
      <c r="AC32" s="71" t="e">
        <f>SUM(AC23:AC30)</f>
        <v>#VALUE!</v>
      </c>
      <c r="AD32" s="71"/>
      <c r="AE32" s="71"/>
      <c r="AF32" s="71" t="e">
        <f>SUM(AF23:AF30)</f>
        <v>#VALUE!</v>
      </c>
      <c r="AG32" s="71"/>
      <c r="AH32" s="71"/>
      <c r="AI32" s="71" t="e">
        <f>SUM(AI23:AI30)</f>
        <v>#VALUE!</v>
      </c>
      <c r="AJ32" s="71"/>
      <c r="AK32" s="71"/>
      <c r="AL32" s="71" t="e">
        <f>SUM(AL23:AL30)</f>
        <v>#VALUE!</v>
      </c>
      <c r="AN32" s="17"/>
    </row>
    <row r="33" spans="1:40" x14ac:dyDescent="0.25">
      <c r="A33" t="s">
        <v>60</v>
      </c>
      <c r="B33" t="b">
        <v>0</v>
      </c>
      <c r="C33" s="52" t="str">
        <f t="shared" ref="C33:C55" si="5">IF(B33=FALSE,"0",1)</f>
        <v>0</v>
      </c>
      <c r="D33" s="23" t="str">
        <f>C33</f>
        <v>0</v>
      </c>
      <c r="E33" s="23">
        <f>IF(Tabelle3!C7=TRUE,20,25)</f>
        <v>25</v>
      </c>
      <c r="G33" s="13" t="str">
        <f t="shared" ref="G33:G42" si="6">IF(B33=TRUE,E33,"")</f>
        <v/>
      </c>
      <c r="I33" s="184">
        <v>1.5</v>
      </c>
      <c r="J33">
        <v>40</v>
      </c>
      <c r="K33" s="23">
        <f>Schachtselector!$G$97</f>
        <v>0</v>
      </c>
      <c r="L33" s="23">
        <f t="shared" ref="L33:L53" si="7">((K33/3.6)/((J33/2)*(J33/2)*3.14159/1000000))/3600</f>
        <v>0</v>
      </c>
      <c r="M33" s="23" t="str">
        <f t="shared" ref="M33:M53" si="8">IF(B33=TRUE,L33,"")</f>
        <v/>
      </c>
      <c r="N33" s="56"/>
      <c r="O33" s="56"/>
      <c r="P33" s="56"/>
      <c r="Q33" s="373" t="e">
        <f>Q32-Q26</f>
        <v>#VALUE!</v>
      </c>
      <c r="T33" s="440" t="e">
        <f>T32-T26</f>
        <v>#VALUE!</v>
      </c>
      <c r="W33" s="71" t="e">
        <f>W32-W26</f>
        <v>#VALUE!</v>
      </c>
      <c r="Z33" s="71" t="e">
        <f>Z32-Z26</f>
        <v>#VALUE!</v>
      </c>
      <c r="AC33" s="71" t="e">
        <f>AC32-AC26</f>
        <v>#VALUE!</v>
      </c>
      <c r="AF33" s="71" t="e">
        <f>AF32-AF26</f>
        <v>#VALUE!</v>
      </c>
      <c r="AI33" s="71" t="e">
        <f>AI32-AI26</f>
        <v>#VALUE!</v>
      </c>
      <c r="AL33" s="71" t="e">
        <f>AL32-AL26</f>
        <v>#VALUE!</v>
      </c>
      <c r="AN33" s="17"/>
    </row>
    <row r="34" spans="1:40" x14ac:dyDescent="0.25">
      <c r="A34" t="s">
        <v>61</v>
      </c>
      <c r="B34" t="b">
        <v>0</v>
      </c>
      <c r="C34" s="52" t="str">
        <f t="shared" si="5"/>
        <v>0</v>
      </c>
      <c r="D34" s="23" t="str">
        <f t="shared" ref="D34:D55" si="9">C34</f>
        <v>0</v>
      </c>
      <c r="E34" s="23">
        <f>IF(Tabelle3!C7=TRUE,22,29)</f>
        <v>29</v>
      </c>
      <c r="G34" s="13" t="str">
        <f t="shared" si="6"/>
        <v/>
      </c>
      <c r="I34" t="s">
        <v>321</v>
      </c>
      <c r="J34">
        <v>50</v>
      </c>
      <c r="K34" s="23">
        <f>Schachtselector!$G$97</f>
        <v>0</v>
      </c>
      <c r="L34" s="23">
        <f t="shared" si="7"/>
        <v>0</v>
      </c>
      <c r="M34" s="23" t="str">
        <f t="shared" si="8"/>
        <v/>
      </c>
      <c r="N34" s="56" t="s">
        <v>107</v>
      </c>
      <c r="O34" s="56"/>
      <c r="P34" s="56"/>
      <c r="Q34">
        <f>IF(Tabelle3!C25=TRUE,Tabelle3!D25/10+Schachtselector!$C$180/10,Schachtselector!$C$180/10)</f>
        <v>0</v>
      </c>
      <c r="T34">
        <f>IF(Tabelle3!C25=TRUE,Tabelle3!D25/10+Schachtselector!$C$180/10,Schachtselector!$C$180/10)</f>
        <v>0</v>
      </c>
      <c r="W34">
        <f>IF(Tabelle3!C25=TRUE,Tabelle3!D25/10+Schachtselector!$C$180/10,Schachtselector!$C$180/10)</f>
        <v>0</v>
      </c>
      <c r="Z34">
        <f>IF(Tabelle3!C25=TRUE,Tabelle3!D25/10+Schachtselector!$C$180/10,Schachtselector!$C$180/10)</f>
        <v>0</v>
      </c>
      <c r="AC34">
        <f>IF(Tabelle3!C25=TRUE,Tabelle3!D25/10+Schachtselector!$C$180/10,Schachtselector!$C$180/10)</f>
        <v>0</v>
      </c>
      <c r="AF34">
        <f>IF(Tabelle3!C25=TRUE,Tabelle3!D25/10+Schachtselector!$C$180/10,Schachtselector!$C$180/10)</f>
        <v>0</v>
      </c>
      <c r="AI34">
        <f>IF(Tabelle3!C25=TRUE,Tabelle3!D25/10+Schachtselector!$C$180/10,Schachtselector!$C$180/10)</f>
        <v>0</v>
      </c>
      <c r="AL34">
        <f>IF(Tabelle3!C25=TRUE,Tabelle3!D25/10+Schachtselector!$C$180/10,Schachtselector!$C$180/10)</f>
        <v>0</v>
      </c>
      <c r="AN34" s="17"/>
    </row>
    <row r="35" spans="1:40" ht="15.75" thickBot="1" x14ac:dyDescent="0.3">
      <c r="A35" t="s">
        <v>62</v>
      </c>
      <c r="B35" t="b">
        <v>0</v>
      </c>
      <c r="C35" s="52" t="str">
        <f t="shared" si="5"/>
        <v>0</v>
      </c>
      <c r="D35" s="23" t="str">
        <f t="shared" si="9"/>
        <v>0</v>
      </c>
      <c r="E35" s="23">
        <v>32</v>
      </c>
      <c r="G35" s="14" t="str">
        <f t="shared" si="6"/>
        <v/>
      </c>
      <c r="I35" t="s">
        <v>321</v>
      </c>
      <c r="J35">
        <v>50</v>
      </c>
      <c r="K35" s="23">
        <f>Schachtselector!$G$97</f>
        <v>0</v>
      </c>
      <c r="L35" s="23">
        <f t="shared" si="7"/>
        <v>0</v>
      </c>
      <c r="M35" s="23" t="str">
        <f t="shared" si="8"/>
        <v/>
      </c>
      <c r="N35" s="56" t="s">
        <v>122</v>
      </c>
      <c r="O35" s="56"/>
      <c r="P35" s="56"/>
      <c r="Q35" s="71" t="e">
        <f>ROUND(Q34+Q32,1)</f>
        <v>#VALUE!</v>
      </c>
      <c r="R35" s="71"/>
      <c r="S35" s="71"/>
      <c r="T35" s="71" t="e">
        <f>ROUND(T34+T32,0)</f>
        <v>#VALUE!</v>
      </c>
      <c r="U35" s="71"/>
      <c r="V35" s="71"/>
      <c r="W35" s="389" t="e">
        <f>ROUND(W34+W32,1)</f>
        <v>#VALUE!</v>
      </c>
      <c r="X35" s="71"/>
      <c r="Y35" s="71"/>
      <c r="Z35" s="71" t="e">
        <f>ROUND(Z34+Z32,1)</f>
        <v>#VALUE!</v>
      </c>
      <c r="AA35" s="71"/>
      <c r="AB35" s="71"/>
      <c r="AC35" s="71" t="e">
        <f>ROUND(AC34+AC32,1)</f>
        <v>#VALUE!</v>
      </c>
      <c r="AD35" s="71"/>
      <c r="AE35" s="71"/>
      <c r="AF35" s="71" t="e">
        <f>ROUND(AF34+AF32,1)</f>
        <v>#VALUE!</v>
      </c>
      <c r="AG35" s="71"/>
      <c r="AH35" s="71"/>
      <c r="AI35" s="71" t="e">
        <f>ROUND(AI34+AI32,1)</f>
        <v>#VALUE!</v>
      </c>
      <c r="AJ35" s="71"/>
      <c r="AK35" s="71"/>
      <c r="AL35" s="71" t="e">
        <f>ROUND(AL34+AL32,1)</f>
        <v>#VALUE!</v>
      </c>
      <c r="AN35" s="17"/>
    </row>
    <row r="36" spans="1:40" ht="15.75" thickBot="1" x14ac:dyDescent="0.3">
      <c r="A36" t="s">
        <v>69</v>
      </c>
      <c r="C36" s="52"/>
      <c r="D36" s="23"/>
      <c r="E36" s="23"/>
      <c r="G36" s="13"/>
      <c r="K36" s="23"/>
      <c r="L36" s="23"/>
      <c r="M36" s="23" t="str">
        <f t="shared" si="8"/>
        <v/>
      </c>
      <c r="N36" s="56" t="s">
        <v>284</v>
      </c>
      <c r="O36" s="56"/>
      <c r="P36" s="56"/>
      <c r="Q36" s="71"/>
      <c r="R36" s="71"/>
      <c r="S36" s="71"/>
      <c r="T36" s="71"/>
      <c r="U36" s="71"/>
      <c r="V36" s="71"/>
      <c r="W36" s="71" t="e">
        <f>W23+W25+W27</f>
        <v>#VALUE!</v>
      </c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N36" s="17"/>
    </row>
    <row r="37" spans="1:40" ht="15.75" thickBot="1" x14ac:dyDescent="0.3">
      <c r="A37" t="s">
        <v>352</v>
      </c>
      <c r="B37" t="b">
        <v>0</v>
      </c>
      <c r="C37" s="52" t="str">
        <f t="shared" si="5"/>
        <v>0</v>
      </c>
      <c r="D37" s="23" t="str">
        <f t="shared" si="9"/>
        <v>0</v>
      </c>
      <c r="E37" s="23">
        <v>20</v>
      </c>
      <c r="F37">
        <f>IF(AND(Tabelle3!$C$9=TRUE,Tabelle2!$A$28=TRUE),25,20)</f>
        <v>20</v>
      </c>
      <c r="G37" s="12" t="str">
        <f>IF(AND($A$29=TRUE,B37=TRUE),E37,IF(AND(B37=TRUE,$A$28=TRUE),F37,""))</f>
        <v/>
      </c>
      <c r="I37" t="s">
        <v>322</v>
      </c>
      <c r="J37">
        <v>25</v>
      </c>
      <c r="K37" s="23">
        <f>Schachtselector!$G$97</f>
        <v>0</v>
      </c>
      <c r="L37" s="23">
        <f t="shared" si="7"/>
        <v>0</v>
      </c>
      <c r="M37" s="23" t="str">
        <f t="shared" si="8"/>
        <v/>
      </c>
      <c r="N37" s="56" t="s">
        <v>285</v>
      </c>
      <c r="O37" s="56"/>
      <c r="P37" s="56"/>
      <c r="Q37" s="71"/>
      <c r="R37" s="71"/>
      <c r="S37" s="71"/>
      <c r="T37" s="71"/>
      <c r="U37" s="71"/>
      <c r="V37" s="71"/>
      <c r="W37" s="71" t="e">
        <f>Tabelle2!W35-(Schachtselector!C186/10)</f>
        <v>#VALUE!</v>
      </c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N37" s="17"/>
    </row>
    <row r="38" spans="1:40" x14ac:dyDescent="0.25">
      <c r="A38" t="s">
        <v>345</v>
      </c>
      <c r="B38" t="b">
        <v>0</v>
      </c>
      <c r="C38" s="52" t="str">
        <f t="shared" si="5"/>
        <v>0</v>
      </c>
      <c r="D38" s="23" t="str">
        <f t="shared" si="9"/>
        <v>0</v>
      </c>
      <c r="E38" s="23">
        <v>25</v>
      </c>
      <c r="F38">
        <f>IF(AND(Tabelle3!$C$9=TRUE,Tabelle2!$A$29=TRUE),25,20)</f>
        <v>20</v>
      </c>
      <c r="G38" s="12" t="str">
        <f>IF(AND($A$29=TRUE,B38=TRUE),E38,IF(AND(B38=TRUE,$A$28=TRUE),F38,""))</f>
        <v/>
      </c>
      <c r="I38" s="184">
        <v>1.5</v>
      </c>
      <c r="J38">
        <v>40</v>
      </c>
      <c r="K38" s="23">
        <f>Schachtselector!$G$97</f>
        <v>0</v>
      </c>
      <c r="L38" s="23">
        <f t="shared" si="7"/>
        <v>0</v>
      </c>
      <c r="M38" s="23" t="str">
        <f t="shared" si="8"/>
        <v/>
      </c>
      <c r="N38" s="56" t="s">
        <v>131</v>
      </c>
      <c r="Q38" s="71" t="e">
        <f>Tabelle2!Q33-(Tabelle3!BM24/10)</f>
        <v>#VALUE!</v>
      </c>
      <c r="R38" s="71"/>
      <c r="S38" s="71"/>
      <c r="T38" s="71" t="e">
        <f>Tabelle2!T33+(Tabelle3!BM24/10)</f>
        <v>#VALUE!</v>
      </c>
      <c r="U38" s="71"/>
      <c r="V38" s="71"/>
      <c r="W38" s="71" t="e">
        <f>ROUND(Tabelle2!W33+(Tabelle3!BM24/10),0)</f>
        <v>#VALUE!</v>
      </c>
      <c r="X38" s="71"/>
      <c r="Y38" s="71"/>
      <c r="Z38" s="71" t="e">
        <f>Tabelle2!Z33+(Tabelle3!BM24/10)</f>
        <v>#VALUE!</v>
      </c>
      <c r="AA38" s="71"/>
      <c r="AB38" s="71"/>
      <c r="AC38" s="71" t="e">
        <f>Tabelle2!AC33+(Tabelle3!BM24/10)</f>
        <v>#VALUE!</v>
      </c>
      <c r="AD38" s="71"/>
      <c r="AE38" s="71"/>
      <c r="AF38" s="71" t="e">
        <f>Tabelle2!AF33+(Tabelle3!BM24/10)</f>
        <v>#VALUE!</v>
      </c>
      <c r="AG38" s="71"/>
      <c r="AH38" s="71"/>
      <c r="AI38" s="71" t="e">
        <f>Tabelle2!AI33+(Tabelle3!BM24/10)</f>
        <v>#VALUE!</v>
      </c>
      <c r="AJ38" s="71"/>
      <c r="AK38" s="71"/>
      <c r="AL38" s="71" t="e">
        <f>Tabelle2!AL33+(Tabelle3!BM24/10)</f>
        <v>#VALUE!</v>
      </c>
      <c r="AN38" s="91"/>
    </row>
    <row r="39" spans="1:40" ht="15.75" thickBot="1" x14ac:dyDescent="0.3">
      <c r="A39" t="s">
        <v>56</v>
      </c>
      <c r="C39" s="57"/>
      <c r="D39" s="23"/>
      <c r="E39" s="23"/>
      <c r="G39" s="13"/>
      <c r="K39" s="23"/>
      <c r="L39" s="23"/>
      <c r="M39" s="23" t="str">
        <f t="shared" si="8"/>
        <v/>
      </c>
      <c r="N39" s="72" t="s">
        <v>98</v>
      </c>
      <c r="O39" s="72"/>
      <c r="P39" s="72"/>
      <c r="Q39" t="e">
        <f>IF(Q35=Q38,TRUE,IF(Q35&gt;Q38,TRUE,IF(Q35&lt;Q38,FALSE)))</f>
        <v>#VALUE!</v>
      </c>
      <c r="T39" t="e">
        <f>IF(T35=T38,TRUE,IF(T35&gt;T38,TRUE,IF(T35&lt;T38,FALSE)))</f>
        <v>#VALUE!</v>
      </c>
      <c r="W39" t="e">
        <f>IF(W35=W38,TRUE,IF(W35&gt;W38,TRUE,IF(W35&gt;W38,FALSE)))</f>
        <v>#VALUE!</v>
      </c>
      <c r="Z39" t="e">
        <f>IF(Z35=Z38,TRUE,IF(Z35&gt;Z38,TRUE,IF(Z35&gt;Z38,FALSE)))</f>
        <v>#VALUE!</v>
      </c>
      <c r="AC39" t="e">
        <f>IF(AC35=AC38,TRUE,IF(AC35&gt;AC38,TRUE,IF(AC35&gt;AC38,FALSE)))</f>
        <v>#VALUE!</v>
      </c>
      <c r="AF39" t="e">
        <f>IF(AF32=AF38,TRUE,IF(AF35&gt;AF38,TRUE,IF(AF35&gt;AF38,FALSE)))</f>
        <v>#VALUE!</v>
      </c>
      <c r="AI39" t="e">
        <f>IF(AI35=AI38,TRUE,IF(AI35&gt;AI38,TRUE,IF(AI35&gt;AI38,FALSE)))</f>
        <v>#VALUE!</v>
      </c>
      <c r="AL39" t="e">
        <f>IF(AL35=AL38,TRUE,IF(AL35&gt;AL38,TRUE,IF(AL35&gt;AL38,FALSE)))</f>
        <v>#VALUE!</v>
      </c>
      <c r="AN39" s="91"/>
    </row>
    <row r="40" spans="1:40" ht="15.75" thickBot="1" x14ac:dyDescent="0.3">
      <c r="A40" t="s">
        <v>275</v>
      </c>
      <c r="B40" t="b">
        <v>0</v>
      </c>
      <c r="C40" s="52" t="str">
        <f t="shared" si="5"/>
        <v>0</v>
      </c>
      <c r="D40" s="23" t="str">
        <f t="shared" si="9"/>
        <v>0</v>
      </c>
      <c r="E40" s="23">
        <v>23.5</v>
      </c>
      <c r="G40" s="11" t="str">
        <f t="shared" si="6"/>
        <v/>
      </c>
      <c r="I40" t="s">
        <v>321</v>
      </c>
      <c r="J40">
        <v>50</v>
      </c>
      <c r="K40" s="23">
        <f>Schachtselector!$G$97</f>
        <v>0</v>
      </c>
      <c r="L40" s="23">
        <f t="shared" si="7"/>
        <v>0</v>
      </c>
      <c r="M40" s="23" t="str">
        <f t="shared" si="8"/>
        <v/>
      </c>
      <c r="N40" s="86" t="s">
        <v>102</v>
      </c>
      <c r="O40" s="89">
        <f>P40</f>
        <v>0</v>
      </c>
      <c r="P40" s="89">
        <f>IF(Q40=1,0,1)</f>
        <v>0</v>
      </c>
      <c r="Q40" s="28">
        <f>IF(Tabelle3!BM27=0,1,IF(Q35&lt;Tabelle3!BM27,1,Sprachen!E115))</f>
        <v>1</v>
      </c>
      <c r="R40" s="89">
        <f>S40</f>
        <v>0</v>
      </c>
      <c r="S40" s="89">
        <f>IF(T40=1,0,1)</f>
        <v>0</v>
      </c>
      <c r="T40" s="28">
        <f>IF(Tabelle3!BM27=0,1,IF(T35&lt;Tabelle3!BM27,1,Sprachen!E135))</f>
        <v>1</v>
      </c>
      <c r="U40" s="89">
        <f>V40</f>
        <v>0</v>
      </c>
      <c r="V40" s="89">
        <f>IF(W40=1,0,1)</f>
        <v>0</v>
      </c>
      <c r="W40" s="28">
        <f>IF(Tabelle3!BM27=0,1,IF(W35&lt;Tabelle3!BM27,1,Sprachen!E135))</f>
        <v>1</v>
      </c>
      <c r="X40" s="89">
        <f>Y40</f>
        <v>0</v>
      </c>
      <c r="Y40" s="89">
        <f>IF(Z40=1,0,1)</f>
        <v>0</v>
      </c>
      <c r="Z40" s="28">
        <f>IF(Tabelle3!BM27=0,1,IF(Z35&lt;Tabelle3!BM27,1,Sprachen!E145))</f>
        <v>1</v>
      </c>
      <c r="AA40" s="89">
        <f>AB40</f>
        <v>0</v>
      </c>
      <c r="AB40" s="89">
        <f>IF(AC40=1,0,1)</f>
        <v>0</v>
      </c>
      <c r="AC40" s="28">
        <f>IF(Tabelle3!BM27=0,1,IF(AC35&lt;Tabelle3!BM27,1,Sprachen!E155))</f>
        <v>1</v>
      </c>
      <c r="AD40" s="89">
        <f>AE40</f>
        <v>0</v>
      </c>
      <c r="AE40" s="89">
        <f>IF(AF40=1,0,1)</f>
        <v>0</v>
      </c>
      <c r="AF40" s="28">
        <f>IF(Tabelle3!BM27=0,1,IF(AF35&lt;Tabelle3!BM27,1,Sprachen!E175))</f>
        <v>1</v>
      </c>
      <c r="AG40" s="89">
        <f>AH40</f>
        <v>0</v>
      </c>
      <c r="AH40" s="89">
        <f>IF(AI40=1,0,1)</f>
        <v>0</v>
      </c>
      <c r="AI40" s="28">
        <f>IF(Tabelle3!BM27=0,1,IF(AI35&lt;Tabelle3!BM27,1,Sprachen!E175))</f>
        <v>1</v>
      </c>
      <c r="AJ40" s="89">
        <f>AK40</f>
        <v>0</v>
      </c>
      <c r="AK40" s="89">
        <f>IF(AL40=1,0,1)</f>
        <v>0</v>
      </c>
      <c r="AL40" s="28">
        <f>IF(Tabelle3!BM27=0,1,IF(AL35&lt;Tabelle3!BM27,1,Sprachen!E185))</f>
        <v>1</v>
      </c>
      <c r="AN40" s="91"/>
    </row>
    <row r="41" spans="1:40" ht="15.75" thickBot="1" x14ac:dyDescent="0.3">
      <c r="A41" t="s">
        <v>70</v>
      </c>
      <c r="C41" s="52"/>
      <c r="D41" s="23"/>
      <c r="E41" s="23"/>
      <c r="G41" s="13"/>
      <c r="I41" s="9"/>
      <c r="J41" s="9"/>
      <c r="K41" s="23"/>
      <c r="L41" s="23"/>
      <c r="M41" s="23" t="str">
        <f t="shared" si="8"/>
        <v/>
      </c>
      <c r="N41" s="86" t="s">
        <v>109</v>
      </c>
      <c r="O41" s="89">
        <f>O40+P41</f>
        <v>0</v>
      </c>
      <c r="P41" s="89">
        <f t="shared" ref="P41:P47" si="10">IF(Q41=1,0,1)</f>
        <v>0</v>
      </c>
      <c r="Q41" s="28">
        <f>IF(Tabelle3!C7=TRUE,IF(52.5&lt;(Q23+Q25+Q27),Sprachen!E116,1),1)</f>
        <v>1</v>
      </c>
      <c r="R41" s="89" t="e">
        <f>R40+S41</f>
        <v>#VALUE!</v>
      </c>
      <c r="S41" s="89" t="e">
        <f t="shared" ref="S41:S47" si="11">IF(T41=1,0,1)</f>
        <v>#VALUE!</v>
      </c>
      <c r="T41" s="28" t="e">
        <f>IF((T35-(Tabelle3!BJ26/10))&gt;(T23+T25+T27),1,Sprachen!E136)</f>
        <v>#VALUE!</v>
      </c>
      <c r="U41" s="89" t="e">
        <f>U40+V41</f>
        <v>#VALUE!</v>
      </c>
      <c r="V41" s="89" t="e">
        <f t="shared" ref="V41:V47" si="12">IF(W41=1,0,1)</f>
        <v>#VALUE!</v>
      </c>
      <c r="W41" s="28" t="e">
        <f>IF((W35-(Tabelle3!BJ26/10))&gt;(W23+W25+W27),1,Sprachen!E136)</f>
        <v>#VALUE!</v>
      </c>
      <c r="X41" s="89" t="e">
        <f>X40+Y41</f>
        <v>#VALUE!</v>
      </c>
      <c r="Y41" s="89" t="e">
        <f t="shared" ref="Y41:Y47" si="13">IF(Z41=1,0,1)</f>
        <v>#VALUE!</v>
      </c>
      <c r="Z41" s="28" t="e">
        <f>IF((Z35-(Tabelle3!BJ26/10))&gt;(Z23+Z25+Z27+Z29),1,Sprachen!E146)</f>
        <v>#VALUE!</v>
      </c>
      <c r="AA41" s="89" t="e">
        <f>AA40+AB41</f>
        <v>#VALUE!</v>
      </c>
      <c r="AB41" s="89" t="e">
        <f t="shared" ref="AB41:AB47" si="14">IF(AC41=1,0,1)</f>
        <v>#VALUE!</v>
      </c>
      <c r="AC41" s="28" t="e">
        <f>IF((AC35-(Tabelle3!BJ26/10))&gt;(AC23+AC25+AC27+AC29),1,Sprachen!E156)</f>
        <v>#VALUE!</v>
      </c>
      <c r="AD41" s="89" t="e">
        <f>AD40+AE41</f>
        <v>#VALUE!</v>
      </c>
      <c r="AE41" s="89" t="e">
        <f t="shared" ref="AE41:AE47" si="15">IF(AF41=1,0,1)</f>
        <v>#VALUE!</v>
      </c>
      <c r="AF41" s="28" t="e">
        <f>IF((AF35-(Tabelle3!BJ26/10))&gt;(AF23+AF25+AF27),1,Sprachen!E166)</f>
        <v>#VALUE!</v>
      </c>
      <c r="AG41" s="89" t="e">
        <f>AG40+AH41</f>
        <v>#VALUE!</v>
      </c>
      <c r="AH41" s="89" t="e">
        <f t="shared" ref="AH41:AH47" si="16">IF(AI41=1,0,1)</f>
        <v>#VALUE!</v>
      </c>
      <c r="AI41" s="28" t="e">
        <f>IF((AI35-(Tabelle3!BJ26/10))&gt;(AI23+AI25+AI27),1,Sprachen!E176)</f>
        <v>#VALUE!</v>
      </c>
      <c r="AJ41" s="89" t="e">
        <f>AJ40+AK41</f>
        <v>#VALUE!</v>
      </c>
      <c r="AK41" s="89" t="e">
        <f t="shared" ref="AK41:AK47" si="17">IF(AL41=1,0,1)</f>
        <v>#VALUE!</v>
      </c>
      <c r="AL41" s="28" t="e">
        <f>IF((AL35-(Tabelle3!BJ26/10))&gt;(AL23+AL25+AL27),1,Sprachen!E186)</f>
        <v>#VALUE!</v>
      </c>
      <c r="AN41" s="91"/>
    </row>
    <row r="42" spans="1:40" ht="15.75" thickBot="1" x14ac:dyDescent="0.3">
      <c r="A42" t="s">
        <v>63</v>
      </c>
      <c r="B42" t="b">
        <v>0</v>
      </c>
      <c r="C42" s="52" t="str">
        <f t="shared" si="5"/>
        <v>0</v>
      </c>
      <c r="D42" s="23" t="str">
        <f t="shared" si="9"/>
        <v>0</v>
      </c>
      <c r="E42" s="23">
        <v>25</v>
      </c>
      <c r="G42" s="11" t="str">
        <f t="shared" si="6"/>
        <v/>
      </c>
      <c r="I42" s="9" t="s">
        <v>321</v>
      </c>
      <c r="J42" s="17">
        <v>50</v>
      </c>
      <c r="K42" s="23">
        <f>Schachtselector!$G$97</f>
        <v>0</v>
      </c>
      <c r="L42" s="23">
        <f t="shared" si="7"/>
        <v>0</v>
      </c>
      <c r="M42" s="23" t="str">
        <f t="shared" si="8"/>
        <v/>
      </c>
      <c r="N42" s="86" t="s">
        <v>110</v>
      </c>
      <c r="O42" s="89" t="e">
        <f t="shared" ref="O42:O47" si="18">O41+P42</f>
        <v>#VALUE!</v>
      </c>
      <c r="P42" s="89" t="e">
        <f t="shared" si="10"/>
        <v>#VALUE!</v>
      </c>
      <c r="Q42" s="28" t="e">
        <f>IF(B58=TRUE,Sprachen!E117,IF(C59&gt;1.9,Sprachen!E117,IF((Q25+Q23+0.1)&gt;$H$88,1,Sprachen!F117&amp;ROUND(((Q25+Q23)-$H$88)*10,0)&amp;" mm")))</f>
        <v>#VALUE!</v>
      </c>
      <c r="R42" s="89" t="e">
        <f t="shared" ref="R42:R47" si="19">R41+S42</f>
        <v>#VALUE!</v>
      </c>
      <c r="S42" s="89" t="e">
        <f t="shared" si="11"/>
        <v>#VALUE!</v>
      </c>
      <c r="T42" s="28" t="e">
        <f>IF(C59&gt;1.9,Sprachen!E127,IF((T25+T23+0.1)&gt;$H$88,1,Sprachen!E127&amp;ROUND(((T25+T23)-$H$88)*10,0)&amp;" mm"))</f>
        <v>#VALUE!</v>
      </c>
      <c r="U42" s="89" t="e">
        <f t="shared" ref="U42:U47" si="20">U41+V42</f>
        <v>#VALUE!</v>
      </c>
      <c r="V42" s="89" t="e">
        <f t="shared" si="12"/>
        <v>#VALUE!</v>
      </c>
      <c r="W42" s="28" t="e">
        <f>IF((W25+W23+0.1)&gt;$H$88,1,Sprachen!E137&amp;ROUND(((W25+W23)-$H$88)*10,0)&amp;" mm")</f>
        <v>#VALUE!</v>
      </c>
      <c r="X42" s="89" t="e">
        <f t="shared" ref="X42:X47" si="21">X41+Y42</f>
        <v>#VALUE!</v>
      </c>
      <c r="Y42" s="89" t="e">
        <f t="shared" si="13"/>
        <v>#VALUE!</v>
      </c>
      <c r="Z42" s="28" t="e">
        <f>IF((Z25+Z23+0.1)&gt;$H$88,1,Sprachen!E147&amp;ROUND(((Z25+Z23)-$H$88)*10,0)&amp;" mm")</f>
        <v>#VALUE!</v>
      </c>
      <c r="AA42" s="89" t="e">
        <f t="shared" ref="AA42:AA47" si="22">AA41+AB42</f>
        <v>#VALUE!</v>
      </c>
      <c r="AB42" s="89" t="e">
        <f t="shared" si="14"/>
        <v>#VALUE!</v>
      </c>
      <c r="AC42" s="28" t="e">
        <f>IF((AC25+AC23+0.1)&gt;$H$88,1,Sprachen!E157&amp;ROUND(((AC25+AC23)-$H$88)*10,0)&amp;" mm")</f>
        <v>#VALUE!</v>
      </c>
      <c r="AD42" s="89" t="e">
        <f t="shared" ref="AD42:AD47" si="23">AD41+AE42</f>
        <v>#VALUE!</v>
      </c>
      <c r="AE42" s="89" t="e">
        <f t="shared" si="15"/>
        <v>#VALUE!</v>
      </c>
      <c r="AF42" s="28" t="e">
        <f>IF((AF25+AF23+0.1)&gt;$H$88,1,Sprachen!E167&amp;ROUND(((AF25+AF23)-$H$88)*10,0)&amp;" mm")</f>
        <v>#VALUE!</v>
      </c>
      <c r="AG42" s="89" t="e">
        <f t="shared" ref="AG42:AG47" si="24">AG41+AH42</f>
        <v>#VALUE!</v>
      </c>
      <c r="AH42" s="89" t="e">
        <f t="shared" si="16"/>
        <v>#VALUE!</v>
      </c>
      <c r="AI42" s="28" t="e">
        <f>IF((AI25+AI23+0.1)&gt;$H$88,1,Sprachen!E177&amp;ROUND(((AI25+AI23)-$H$88)*10,0)&amp;" mm")</f>
        <v>#VALUE!</v>
      </c>
      <c r="AJ42" s="89" t="e">
        <f t="shared" ref="AJ42:AJ47" si="25">AJ41+AK42</f>
        <v>#VALUE!</v>
      </c>
      <c r="AK42" s="89" t="e">
        <f t="shared" si="17"/>
        <v>#VALUE!</v>
      </c>
      <c r="AL42" s="28" t="e">
        <f>IF((AL25+AL23+0.1)&gt;$H$88,1,Sprachen!E187&amp;ROUND(((AL25+AL23)-$H$88)*10,0)&amp;" mm")</f>
        <v>#VALUE!</v>
      </c>
      <c r="AN42" s="91"/>
    </row>
    <row r="43" spans="1:40" ht="15.75" thickBot="1" x14ac:dyDescent="0.3">
      <c r="A43" t="s">
        <v>71</v>
      </c>
      <c r="B43" s="195">
        <f>C42+C40+C35+C34+C33+C32</f>
        <v>0</v>
      </c>
      <c r="C43" s="52">
        <f>C42+C38+C37+C35+C34+C33+C32+C40</f>
        <v>0</v>
      </c>
      <c r="D43" s="23"/>
      <c r="E43" s="23"/>
      <c r="G43">
        <f>SUM(G32:G42)</f>
        <v>0</v>
      </c>
      <c r="K43" s="23"/>
      <c r="L43" s="23"/>
      <c r="M43" s="23" t="str">
        <f t="shared" si="8"/>
        <v/>
      </c>
      <c r="N43" s="107" t="s">
        <v>108</v>
      </c>
      <c r="O43" s="108" t="e">
        <f t="shared" si="18"/>
        <v>#VALUE!</v>
      </c>
      <c r="P43" s="108" t="e">
        <f t="shared" si="10"/>
        <v>#VALUE!</v>
      </c>
      <c r="Q43" s="109" t="e">
        <f>IF(Q39=FALSE,Sprachen!E118,1)</f>
        <v>#VALUE!</v>
      </c>
      <c r="R43" s="108" t="e">
        <f t="shared" si="19"/>
        <v>#VALUE!</v>
      </c>
      <c r="S43" s="108" t="e">
        <f t="shared" si="11"/>
        <v>#VALUE!</v>
      </c>
      <c r="T43" s="109" t="e">
        <f>IF(T39=FALSE,Sprachen!E128,1)</f>
        <v>#VALUE!</v>
      </c>
      <c r="U43" s="108" t="e">
        <f t="shared" si="20"/>
        <v>#VALUE!</v>
      </c>
      <c r="V43" s="108" t="e">
        <f t="shared" si="12"/>
        <v>#VALUE!</v>
      </c>
      <c r="W43" s="109" t="e">
        <f>IF(W39=FALSE,Sprachen!E138,1)</f>
        <v>#VALUE!</v>
      </c>
      <c r="X43" s="108" t="e">
        <f t="shared" si="21"/>
        <v>#VALUE!</v>
      </c>
      <c r="Y43" s="108" t="e">
        <f t="shared" si="13"/>
        <v>#VALUE!</v>
      </c>
      <c r="Z43" s="109" t="e">
        <f>IF(Z39=FALSE,Sprachen!E148,1)</f>
        <v>#VALUE!</v>
      </c>
      <c r="AA43" s="108" t="e">
        <f t="shared" si="22"/>
        <v>#VALUE!</v>
      </c>
      <c r="AB43" s="108" t="e">
        <f t="shared" si="14"/>
        <v>#VALUE!</v>
      </c>
      <c r="AC43" s="109" t="e">
        <f>IF(AC39=FALSE,Sprachen!E158,1)</f>
        <v>#VALUE!</v>
      </c>
      <c r="AD43" s="108" t="e">
        <f t="shared" si="23"/>
        <v>#VALUE!</v>
      </c>
      <c r="AE43" s="108" t="e">
        <f t="shared" si="15"/>
        <v>#VALUE!</v>
      </c>
      <c r="AF43" s="109" t="e">
        <f>IF(AF39=FALSE,Sprachen!E168,1)</f>
        <v>#VALUE!</v>
      </c>
      <c r="AG43" s="108" t="e">
        <f t="shared" si="24"/>
        <v>#VALUE!</v>
      </c>
      <c r="AH43" s="108" t="e">
        <f t="shared" si="16"/>
        <v>#VALUE!</v>
      </c>
      <c r="AI43" s="109" t="e">
        <f>IF(AI39=FALSE,Sprachen!E178,1)</f>
        <v>#VALUE!</v>
      </c>
      <c r="AJ43" s="108" t="e">
        <f t="shared" si="25"/>
        <v>#VALUE!</v>
      </c>
      <c r="AK43" s="108" t="e">
        <f t="shared" si="17"/>
        <v>#VALUE!</v>
      </c>
      <c r="AL43" s="109" t="e">
        <f>IF(AL39=FALSE,Sprachen!E188,1)</f>
        <v>#VALUE!</v>
      </c>
      <c r="AN43" s="91"/>
    </row>
    <row r="44" spans="1:40" x14ac:dyDescent="0.25">
      <c r="A44" t="s">
        <v>54</v>
      </c>
      <c r="B44" t="b">
        <v>0</v>
      </c>
      <c r="C44" s="52" t="str">
        <f t="shared" si="5"/>
        <v>0</v>
      </c>
      <c r="D44" s="23" t="str">
        <f t="shared" si="9"/>
        <v>0</v>
      </c>
      <c r="E44" s="60">
        <v>40.5</v>
      </c>
      <c r="F44" s="61">
        <v>32</v>
      </c>
      <c r="G44" s="61" t="str">
        <f>IF($A$28=TRUE,F44,IF($A$29=TRUE,E44,""))</f>
        <v/>
      </c>
      <c r="H44" s="38" t="str">
        <f>IF(B44=TRUE,G44,"")</f>
        <v/>
      </c>
      <c r="I44" t="s">
        <v>324</v>
      </c>
      <c r="J44">
        <v>80</v>
      </c>
      <c r="K44" s="23">
        <f>Schachtselector!$G$97</f>
        <v>0</v>
      </c>
      <c r="L44" s="23">
        <f t="shared" si="7"/>
        <v>0</v>
      </c>
      <c r="M44" s="23" t="str">
        <f t="shared" si="8"/>
        <v/>
      </c>
      <c r="N44" s="86" t="s">
        <v>123</v>
      </c>
      <c r="O44" s="89" t="e">
        <f t="shared" si="18"/>
        <v>#VALUE!</v>
      </c>
      <c r="P44" s="89" t="e">
        <f t="shared" si="10"/>
        <v>#VALUE!</v>
      </c>
      <c r="Q44" s="28" t="e">
        <f>IF(Q35&lt;Q123,1,Sprachen!E119&amp;Q127&amp;" mm")</f>
        <v>#VALUE!</v>
      </c>
      <c r="R44" s="89" t="e">
        <f t="shared" si="19"/>
        <v>#VALUE!</v>
      </c>
      <c r="S44" s="89" t="e">
        <f t="shared" si="11"/>
        <v>#VALUE!</v>
      </c>
      <c r="T44" s="28" t="e">
        <f>IF(OR((T31+T26)&lt;T123,(T31+T26)=T123),1,Sprachen!E129&amp;T127&amp;" mm")</f>
        <v>#VALUE!</v>
      </c>
      <c r="U44" s="89" t="e">
        <f t="shared" si="20"/>
        <v>#VALUE!</v>
      </c>
      <c r="V44" s="89" t="e">
        <f t="shared" si="12"/>
        <v>#VALUE!</v>
      </c>
      <c r="W44" s="28" t="e">
        <f>IF(W31&lt;W123,1,Sprachen!E139&amp;W127&amp;" mm")</f>
        <v>#VALUE!</v>
      </c>
      <c r="X44" s="89" t="e">
        <f t="shared" si="21"/>
        <v>#VALUE!</v>
      </c>
      <c r="Y44" s="89" t="e">
        <f t="shared" si="13"/>
        <v>#VALUE!</v>
      </c>
      <c r="Z44" s="28" t="e">
        <f>IF(Z35&lt;Z123,1,Sprachen!E149&amp;Z127&amp;" mm, "&amp;Sprachen!F149)</f>
        <v>#VALUE!</v>
      </c>
      <c r="AA44" s="89" t="e">
        <f t="shared" si="22"/>
        <v>#VALUE!</v>
      </c>
      <c r="AB44" s="89" t="e">
        <f t="shared" si="14"/>
        <v>#VALUE!</v>
      </c>
      <c r="AC44" s="28" t="e">
        <f>IF(AC35&lt;AC123,1,Sprachen!E159&amp;AC127&amp;" mm, "&amp;Sprachen!F159)</f>
        <v>#VALUE!</v>
      </c>
      <c r="AD44" s="89" t="e">
        <f t="shared" si="23"/>
        <v>#VALUE!</v>
      </c>
      <c r="AE44" s="89" t="e">
        <f t="shared" si="15"/>
        <v>#VALUE!</v>
      </c>
      <c r="AF44" s="28" t="e">
        <f>IF(AF35&lt;AF123,1,Sprachen!E169&amp;AF127&amp;" mm, "&amp;Sprachen!F169)</f>
        <v>#VALUE!</v>
      </c>
      <c r="AG44" s="89" t="e">
        <f t="shared" si="24"/>
        <v>#VALUE!</v>
      </c>
      <c r="AH44" s="89" t="e">
        <f t="shared" si="16"/>
        <v>#VALUE!</v>
      </c>
      <c r="AI44" s="28" t="e">
        <f>IF(AI35&lt;AI123,1,Sprachen!E179&amp;AI127&amp;" mm, "&amp;Sprachen!F179)</f>
        <v>#VALUE!</v>
      </c>
      <c r="AJ44" s="89" t="e">
        <f t="shared" si="25"/>
        <v>#VALUE!</v>
      </c>
      <c r="AK44" s="89" t="e">
        <f t="shared" si="17"/>
        <v>#VALUE!</v>
      </c>
      <c r="AL44" s="28" t="e">
        <f>IF(AL35&lt;AL123,1,Sprachen!E189&amp;AL127&amp;" mm, "&amp;Sprachen!F189)</f>
        <v>#VALUE!</v>
      </c>
      <c r="AN44" s="91"/>
    </row>
    <row r="45" spans="1:40" x14ac:dyDescent="0.25">
      <c r="A45" t="s">
        <v>64</v>
      </c>
      <c r="B45" t="b">
        <v>0</v>
      </c>
      <c r="C45" s="52" t="str">
        <f t="shared" si="5"/>
        <v>0</v>
      </c>
      <c r="D45" s="23" t="str">
        <f t="shared" si="9"/>
        <v>0</v>
      </c>
      <c r="E45" s="62">
        <v>45.5</v>
      </c>
      <c r="F45" s="9">
        <v>41.5</v>
      </c>
      <c r="G45" s="9" t="str">
        <f t="shared" ref="G45:G49" si="26">IF($A$28=TRUE,F45,IF($A$29=TRUE,E45,""))</f>
        <v/>
      </c>
      <c r="H45" s="63" t="str">
        <f t="shared" ref="H45:H55" si="27">IF(B45=TRUE,G45,"")</f>
        <v/>
      </c>
      <c r="I45" t="s">
        <v>325</v>
      </c>
      <c r="J45">
        <v>100</v>
      </c>
      <c r="K45" s="23">
        <f>Schachtselector!$G$97</f>
        <v>0</v>
      </c>
      <c r="L45" s="23">
        <f t="shared" si="7"/>
        <v>0</v>
      </c>
      <c r="M45" s="23" t="str">
        <f t="shared" si="8"/>
        <v/>
      </c>
      <c r="N45" s="86" t="s">
        <v>124</v>
      </c>
      <c r="O45" s="89" t="e">
        <f t="shared" si="18"/>
        <v>#VALUE!</v>
      </c>
      <c r="P45" s="89">
        <f t="shared" si="10"/>
        <v>1</v>
      </c>
      <c r="Q45" s="28" t="str">
        <f>IF(OR(B33=TRUE,B34=TRUE),1,Sprachen!E120)</f>
        <v xml:space="preserve">Pozzo troppo basso altezza min BF11 non raggiunta per </v>
      </c>
      <c r="R45" s="89" t="e">
        <f t="shared" si="19"/>
        <v>#VALUE!</v>
      </c>
      <c r="S45" s="89">
        <f t="shared" si="11"/>
        <v>0</v>
      </c>
      <c r="T45" s="28">
        <f>IF($A$28=TRUE,(IF(OR(T35&gt;T124,T35-T124=0),1,Sprachen!E130&amp;T128&amp;" mm")),1)</f>
        <v>1</v>
      </c>
      <c r="U45" s="89" t="e">
        <f t="shared" si="20"/>
        <v>#VALUE!</v>
      </c>
      <c r="V45" s="89">
        <f t="shared" si="12"/>
        <v>0</v>
      </c>
      <c r="W45" s="28">
        <f>IF($A$28=TRUE,(IF(OR(W35&gt;W124,W35-W124=0),1,Sprachen!E140&amp;W128&amp;" mm")),1)</f>
        <v>1</v>
      </c>
      <c r="X45" s="89" t="e">
        <f t="shared" si="21"/>
        <v>#VALUE!</v>
      </c>
      <c r="Y45" s="89">
        <f t="shared" si="13"/>
        <v>0</v>
      </c>
      <c r="Z45" s="28">
        <f>IF($A$28=TRUE,(IF(OR(Z35&gt;Z124,Z35-Z124=0),1,Sprachen!E150&amp;Z128&amp;" mm")),1)</f>
        <v>1</v>
      </c>
      <c r="AA45" s="89" t="e">
        <f t="shared" si="22"/>
        <v>#VALUE!</v>
      </c>
      <c r="AB45" s="89">
        <f t="shared" si="14"/>
        <v>0</v>
      </c>
      <c r="AC45" s="28">
        <f>IF($A$28=TRUE,(IF(OR(AC35&gt;AC124,AC35-AC124=0),1,Sprachen!E160&amp;AC128&amp;" mm")),1)</f>
        <v>1</v>
      </c>
      <c r="AD45" s="89" t="e">
        <f t="shared" si="23"/>
        <v>#VALUE!</v>
      </c>
      <c r="AE45" s="89">
        <f t="shared" si="15"/>
        <v>0</v>
      </c>
      <c r="AF45" s="28">
        <f>IF($A$28=TRUE,(IF(OR(AF35&gt;AF124,AF35-AF124=0),1,Sprachen!E170&amp;AF128&amp;" mm")),1)</f>
        <v>1</v>
      </c>
      <c r="AG45" s="89" t="e">
        <f t="shared" si="24"/>
        <v>#VALUE!</v>
      </c>
      <c r="AH45" s="89">
        <f t="shared" si="16"/>
        <v>0</v>
      </c>
      <c r="AI45" s="28">
        <f>IF($A$28=TRUE,(IF(OR(AI35&gt;AI124,AI35-AI124=0),1,Sprachen!E180&amp;AI128&amp;" mm")),1)</f>
        <v>1</v>
      </c>
      <c r="AJ45" s="89" t="e">
        <f t="shared" si="25"/>
        <v>#VALUE!</v>
      </c>
      <c r="AK45" s="89">
        <f t="shared" si="17"/>
        <v>0</v>
      </c>
      <c r="AL45" s="28">
        <f>IF($A$28=TRUE,(IF(OR(AL35&gt;AL124,AL35-AL124=0),1,Sprachen!E190&amp;AL128&amp;" mm")),1)</f>
        <v>1</v>
      </c>
      <c r="AN45" s="91"/>
    </row>
    <row r="46" spans="1:40" x14ac:dyDescent="0.25">
      <c r="A46" t="s">
        <v>72</v>
      </c>
      <c r="C46" s="52"/>
      <c r="D46" s="23"/>
      <c r="E46" s="62"/>
      <c r="F46" s="9"/>
      <c r="G46" s="9"/>
      <c r="H46" s="63"/>
      <c r="K46" s="23"/>
      <c r="L46" s="23"/>
      <c r="M46" s="23" t="str">
        <f t="shared" si="8"/>
        <v/>
      </c>
      <c r="N46" s="86" t="s">
        <v>125</v>
      </c>
      <c r="O46" s="89" t="e">
        <f t="shared" si="18"/>
        <v>#VALUE!</v>
      </c>
      <c r="P46" s="89">
        <f t="shared" si="10"/>
        <v>0</v>
      </c>
      <c r="Q46" s="28">
        <f>IF(A29=TRUE,IF(OR(Q35&gt;Q125,Q35-Q125=0),1,Sprachen!E121&amp;Q129&amp;" mm"),1)</f>
        <v>1</v>
      </c>
      <c r="R46" s="89" t="e">
        <f t="shared" si="19"/>
        <v>#VALUE!</v>
      </c>
      <c r="S46" s="89">
        <f t="shared" si="11"/>
        <v>0</v>
      </c>
      <c r="T46" s="28">
        <f>IF(A29=TRUE,IF(OR(T35&gt;T125,T35-T125=0),1,Sprachen!E131&amp;T129&amp;" mm"),1)</f>
        <v>1</v>
      </c>
      <c r="U46" s="89" t="e">
        <f t="shared" si="20"/>
        <v>#VALUE!</v>
      </c>
      <c r="V46" s="89">
        <f t="shared" si="12"/>
        <v>0</v>
      </c>
      <c r="W46" s="28">
        <f>IF(A29=TRUE,IF(OR(W35&gt;W125,W35-W125=0),1,IF(AND(W130=TRUE,A29=TRUE),Sprachen!E141,Sprachen!F141&amp;W129&amp;" mm")),1)</f>
        <v>1</v>
      </c>
      <c r="X46" s="89" t="e">
        <f t="shared" si="21"/>
        <v>#VALUE!</v>
      </c>
      <c r="Y46" s="89">
        <f t="shared" si="13"/>
        <v>0</v>
      </c>
      <c r="Z46" s="28">
        <f>IF($A$29=TRUE,IF(OR(Z35&gt;Z125,Z35-Z125=0),1,Sprachen!E151&amp;Z129&amp;" mm"),1)</f>
        <v>1</v>
      </c>
      <c r="AA46" s="89" t="e">
        <f t="shared" si="22"/>
        <v>#VALUE!</v>
      </c>
      <c r="AB46" s="89">
        <f t="shared" si="14"/>
        <v>0</v>
      </c>
      <c r="AC46" s="28">
        <f>IF($A$29=TRUE,IF(OR(AC35&gt;AC125,AC35-AC125=0),1,Sprachen!E161&amp;AC129&amp;" mm"),1)</f>
        <v>1</v>
      </c>
      <c r="AD46" s="89" t="e">
        <f t="shared" si="23"/>
        <v>#VALUE!</v>
      </c>
      <c r="AE46" s="89">
        <f t="shared" si="15"/>
        <v>0</v>
      </c>
      <c r="AF46" s="28">
        <f>IF($A$29=TRUE,IF(OR(AF35&gt;AF125,AF35-AF125=0),1,Sprachen!E171&amp;AF129&amp;" mm"),1)</f>
        <v>1</v>
      </c>
      <c r="AG46" s="89" t="e">
        <f t="shared" si="24"/>
        <v>#VALUE!</v>
      </c>
      <c r="AH46" s="89">
        <f t="shared" si="16"/>
        <v>0</v>
      </c>
      <c r="AI46" s="28">
        <f>IF($A$29=TRUE,IF(OR(AI35&gt;AI125,AI35-AI125=0),1,Sprachen!E181&amp;AI129&amp;" mm"),1)</f>
        <v>1</v>
      </c>
      <c r="AJ46" s="89" t="e">
        <f t="shared" si="25"/>
        <v>#VALUE!</v>
      </c>
      <c r="AK46" s="89">
        <f t="shared" si="17"/>
        <v>0</v>
      </c>
      <c r="AL46" s="28">
        <f>IF($A$29=TRUE,IF(OR(AL35&gt;AL125,AL35-AL125=0),1,Sprachen!E191&amp;AL129&amp;" mm"),1)</f>
        <v>1</v>
      </c>
      <c r="AN46" s="17"/>
    </row>
    <row r="47" spans="1:40" x14ac:dyDescent="0.25">
      <c r="A47" t="s">
        <v>55</v>
      </c>
      <c r="B47" t="b">
        <v>0</v>
      </c>
      <c r="C47" s="52" t="str">
        <f t="shared" si="5"/>
        <v>0</v>
      </c>
      <c r="D47" s="23" t="str">
        <f t="shared" si="9"/>
        <v>0</v>
      </c>
      <c r="E47" s="62">
        <v>41.5</v>
      </c>
      <c r="F47" s="9">
        <v>32</v>
      </c>
      <c r="G47" s="9" t="str">
        <f t="shared" si="26"/>
        <v/>
      </c>
      <c r="H47" s="63" t="str">
        <f t="shared" si="27"/>
        <v/>
      </c>
      <c r="I47" t="s">
        <v>324</v>
      </c>
      <c r="J47">
        <v>80</v>
      </c>
      <c r="K47" s="23">
        <f>Schachtselector!$G$97</f>
        <v>0</v>
      </c>
      <c r="L47" s="23">
        <f t="shared" si="7"/>
        <v>0</v>
      </c>
      <c r="M47" s="23" t="str">
        <f t="shared" si="8"/>
        <v/>
      </c>
      <c r="N47" s="86" t="s">
        <v>175</v>
      </c>
      <c r="O47" s="89" t="e">
        <f t="shared" si="18"/>
        <v>#VALUE!</v>
      </c>
      <c r="P47" s="89">
        <f t="shared" si="10"/>
        <v>1</v>
      </c>
      <c r="Q47" s="28" t="str">
        <f>IF(Q121=1,1,Q112&amp;" "&amp;Sprachen!E122)</f>
        <v xml:space="preserve">  impossibile </v>
      </c>
      <c r="R47" s="89" t="e">
        <f t="shared" si="19"/>
        <v>#VALUE!</v>
      </c>
      <c r="S47" s="89">
        <f t="shared" si="11"/>
        <v>1</v>
      </c>
      <c r="T47" s="28" t="str">
        <f>IF(T121=1,1,IF(W50=1,T112&amp;Sprachen!E132,T112&amp;Sprachen!E132&amp;Sprachen!F132))</f>
        <v xml:space="preserve"> impossibile </v>
      </c>
      <c r="U47" s="89" t="e">
        <f t="shared" si="20"/>
        <v>#VALUE!</v>
      </c>
      <c r="V47" s="89">
        <f t="shared" si="12"/>
        <v>0</v>
      </c>
      <c r="W47" s="28">
        <f>IF(B45=TRUE,Sprachen!E142,IF(B48=TRUE,Sprachen!E142,IF(B49=TRUE,Sprachen!F142,IF(AND(B38=TRUE,Q91=TRUE),Sprachen!F143,IF(W121=1,1,W112)))))</f>
        <v>1</v>
      </c>
      <c r="X47" s="89" t="e">
        <f t="shared" si="21"/>
        <v>#VALUE!</v>
      </c>
      <c r="Y47" s="89">
        <f t="shared" si="13"/>
        <v>0</v>
      </c>
      <c r="Z47" s="28">
        <f>IF(B49=TRUE,Sprachen!E152,IF(Z121=1,1,Sprachen!F152))</f>
        <v>1</v>
      </c>
      <c r="AA47" s="89" t="e">
        <f t="shared" si="22"/>
        <v>#VALUE!</v>
      </c>
      <c r="AB47" s="89">
        <f t="shared" si="14"/>
        <v>1</v>
      </c>
      <c r="AC47" s="28" t="str">
        <f>IF(B49=TRUE,Sprachen!E162,IF(AC121=1,1,AC112))</f>
        <v/>
      </c>
      <c r="AD47" s="89" t="e">
        <f t="shared" si="23"/>
        <v>#VALUE!</v>
      </c>
      <c r="AE47" s="89">
        <f t="shared" si="15"/>
        <v>1</v>
      </c>
      <c r="AF47" s="28" t="str">
        <f>IF(B49=TRUE,Sprachen!E162,IF(AF121=1,1,AF112&amp;Sprachen!E172))</f>
        <v xml:space="preserve">Superficie troppo grande </v>
      </c>
      <c r="AG47" s="89" t="e">
        <f t="shared" si="24"/>
        <v>#VALUE!</v>
      </c>
      <c r="AH47" s="89">
        <f t="shared" si="16"/>
        <v>1</v>
      </c>
      <c r="AI47" s="28" t="str">
        <f>IF(AI121=1,1,AI112&amp;Sprachen!E182)</f>
        <v xml:space="preserve">Superficie troppo grande </v>
      </c>
      <c r="AJ47" s="89" t="e">
        <f t="shared" si="25"/>
        <v>#VALUE!</v>
      </c>
      <c r="AK47" s="89">
        <f t="shared" si="17"/>
        <v>1</v>
      </c>
      <c r="AL47" s="28" t="str">
        <f>IF(AL121=1,1,Sprachen!E192&amp;AL112)</f>
        <v xml:space="preserve">Superficie troppo grande </v>
      </c>
      <c r="AN47" s="17"/>
    </row>
    <row r="48" spans="1:40" ht="15.75" thickBot="1" x14ac:dyDescent="0.3">
      <c r="A48" t="s">
        <v>65</v>
      </c>
      <c r="B48" t="b">
        <v>0</v>
      </c>
      <c r="C48" s="52" t="str">
        <f t="shared" si="5"/>
        <v>0</v>
      </c>
      <c r="D48" s="23" t="str">
        <f t="shared" si="9"/>
        <v>0</v>
      </c>
      <c r="E48" s="62">
        <v>48</v>
      </c>
      <c r="F48" s="9">
        <v>41.5</v>
      </c>
      <c r="G48" s="9" t="str">
        <f t="shared" si="26"/>
        <v/>
      </c>
      <c r="H48" s="63" t="str">
        <f t="shared" si="27"/>
        <v/>
      </c>
      <c r="I48" t="s">
        <v>325</v>
      </c>
      <c r="J48">
        <v>100</v>
      </c>
      <c r="K48" s="23">
        <f>Schachtselector!$G$97</f>
        <v>0</v>
      </c>
      <c r="L48" s="23">
        <f t="shared" si="7"/>
        <v>0</v>
      </c>
      <c r="M48" s="23" t="str">
        <f t="shared" si="8"/>
        <v/>
      </c>
      <c r="N48" s="190" t="s">
        <v>346</v>
      </c>
      <c r="O48" s="89" t="e">
        <f t="shared" ref="O48" si="28">O47+P48</f>
        <v>#VALUE!</v>
      </c>
      <c r="P48" s="89">
        <f t="shared" ref="P48" si="29">IF(Q48=1,0,1)</f>
        <v>0</v>
      </c>
      <c r="Q48" s="28">
        <f>IF(OR(B44=TRUE,B45=TRUE,B47=TRUE,B48=TRUE,B49=TRUE),Sprachen!E123,1)</f>
        <v>1</v>
      </c>
      <c r="R48" s="89" t="e">
        <f t="shared" ref="R48" si="30">R47+S48</f>
        <v>#VALUE!</v>
      </c>
      <c r="S48" s="89">
        <f t="shared" ref="S48" si="31">IF(T48=1,0,1)</f>
        <v>0</v>
      </c>
      <c r="T48" s="28">
        <f>IF(OR(B44=TRUE,B45=TRUE,B47=TRUE,B48=TRUE,B49=TRUE),Sprachen!E133,1)</f>
        <v>1</v>
      </c>
      <c r="U48" s="89" t="e">
        <f t="shared" ref="U48" si="32">U47+V48</f>
        <v>#VALUE!</v>
      </c>
      <c r="V48" s="89">
        <f t="shared" ref="V48" si="33">IF(W48=1,0,1)</f>
        <v>0</v>
      </c>
      <c r="W48" s="28">
        <f>IF(AND(Q91=TRUE,(OR(B40=TRUE,B44=TRUE,B45=TRUE,B47=TRUE,B51=TRUE,B53=TRUE))),Sprachen!F143,IF(OR(B45=TRUE,B48=TRUE,B49=TRUE),Sprachen!E143,1))</f>
        <v>1</v>
      </c>
      <c r="X48" s="89" t="e">
        <f t="shared" ref="X48" si="34">X47+Y48</f>
        <v>#VALUE!</v>
      </c>
      <c r="Y48" s="89">
        <f t="shared" ref="Y48" si="35">IF(Z48=1,0,1)</f>
        <v>0</v>
      </c>
      <c r="Z48" s="28">
        <f>IF(Q91=TRUE,Sprachen!E153,IF(OR(B48=TRUE,B45=TRUE),Sprachen!F153,1))</f>
        <v>1</v>
      </c>
      <c r="AA48" s="89" t="e">
        <f t="shared" ref="AA48" si="36">AA47+AB48</f>
        <v>#VALUE!</v>
      </c>
      <c r="AB48" s="89">
        <f t="shared" ref="AB48" si="37">IF(AC48=1,0,1)</f>
        <v>0</v>
      </c>
      <c r="AC48" s="28">
        <f>IF(Q91=TRUE,Sprachen!E163,IF(AND(Tabelle3!BD55,(OR(B48=TRUE,B45=TRUE))),Sprachen!F163,1))</f>
        <v>1</v>
      </c>
      <c r="AD48" s="89" t="e">
        <f t="shared" ref="AD48" si="38">AD47+AE48</f>
        <v>#VALUE!</v>
      </c>
      <c r="AE48" s="89">
        <f t="shared" ref="AE48" si="39">IF(AF48=1,0,1)</f>
        <v>0</v>
      </c>
      <c r="AF48" s="32">
        <f>IF(AF49=TRUE,Sprachen!E173,IF(AND(Tabelle3!BD56,(OR(B48=TRUE,B45=TRUE,B49=TRUE))),Sprachen!F173,IF(Tabelle3!BJ57=TRUE,Sprachen!E184,1)))</f>
        <v>1</v>
      </c>
      <c r="AG48" s="89" t="e">
        <f t="shared" ref="AG48" si="40">AG47+AH48</f>
        <v>#VALUE!</v>
      </c>
      <c r="AH48" s="89">
        <f t="shared" ref="AH48" si="41">IF(AI48=1,0,1)</f>
        <v>0</v>
      </c>
      <c r="AI48" s="28">
        <f>IF(AF49=TRUE,Sprachen!E183,IF(AND(Tabelle3!BD57,(OR(B48=TRUE,B45=TRUE,B49=TRUE))),Sprachen!F183,IF(Tabelle3!BJ58=TRUE,Sprachen!E184,1)))</f>
        <v>1</v>
      </c>
      <c r="AJ48" s="89" t="e">
        <f t="shared" ref="AJ48" si="42">AJ47+AK48</f>
        <v>#VALUE!</v>
      </c>
      <c r="AK48" s="89">
        <f t="shared" ref="AK48" si="43">IF(AL48=1,0,1)</f>
        <v>0</v>
      </c>
      <c r="AL48" s="28">
        <f>IF(AND(Tabelle3!BD58,(OR(B45=TRUE,B48=TRUE,B49=TRUE))),Sprachen!E193,1)</f>
        <v>1</v>
      </c>
    </row>
    <row r="49" spans="1:43" ht="15.75" thickBot="1" x14ac:dyDescent="0.3">
      <c r="A49" s="9" t="s">
        <v>66</v>
      </c>
      <c r="B49" s="9" t="b">
        <v>0</v>
      </c>
      <c r="C49" s="57" t="str">
        <f>IF(B49=FALSE,"0",1)</f>
        <v>0</v>
      </c>
      <c r="D49" s="59" t="str">
        <f t="shared" si="9"/>
        <v>0</v>
      </c>
      <c r="E49" s="62">
        <v>53.5</v>
      </c>
      <c r="F49" s="9">
        <v>45</v>
      </c>
      <c r="G49" s="9" t="str">
        <f t="shared" si="26"/>
        <v/>
      </c>
      <c r="H49" s="63" t="str">
        <f t="shared" si="27"/>
        <v/>
      </c>
      <c r="I49" t="s">
        <v>326</v>
      </c>
      <c r="J49">
        <v>150</v>
      </c>
      <c r="K49" s="23">
        <f>Schachtselector!$G$97</f>
        <v>0</v>
      </c>
      <c r="L49" s="23">
        <f t="shared" si="7"/>
        <v>0</v>
      </c>
      <c r="M49" s="23" t="str">
        <f t="shared" si="8"/>
        <v/>
      </c>
      <c r="Q49" s="210"/>
      <c r="T49" s="210"/>
      <c r="W49" s="210"/>
      <c r="Z49" s="210"/>
      <c r="AC49" s="210" t="str">
        <f>IF(AND(Q91=TRUE,OR(B45=TRUE,B48=TRUE,B49=TRUE)),TRUE,"")</f>
        <v/>
      </c>
      <c r="AF49" s="211" t="str">
        <f>IF(AND(Q91=TRUE,OR(B45=TRUE,B48=TRUE,B49=TRUE)),TRUE,"")</f>
        <v/>
      </c>
      <c r="AI49" s="210"/>
      <c r="AL49" s="210"/>
      <c r="AN49" t="s">
        <v>595</v>
      </c>
      <c r="AO49" t="s">
        <v>368</v>
      </c>
      <c r="AP49" t="s">
        <v>590</v>
      </c>
      <c r="AQ49" t="s">
        <v>591</v>
      </c>
    </row>
    <row r="50" spans="1:43" x14ac:dyDescent="0.25">
      <c r="A50" t="s">
        <v>73</v>
      </c>
      <c r="C50" s="52"/>
      <c r="D50" s="23"/>
      <c r="E50" s="62"/>
      <c r="F50" s="9"/>
      <c r="G50" s="9"/>
      <c r="H50" s="63"/>
      <c r="K50" s="23"/>
      <c r="L50" s="23"/>
      <c r="M50" s="23" t="str">
        <f t="shared" si="8"/>
        <v/>
      </c>
      <c r="N50" s="56" t="s">
        <v>127</v>
      </c>
      <c r="O50" s="56"/>
      <c r="P50" s="56"/>
      <c r="W50">
        <f>IF(B45=TRUE,"DN Druckleitung nicht möglich",IF(B48=TRUE,", DN Druckleitung nicht möglich",IF(B49=TRUE,", DN  Druckleitung nicht möglich",1)))</f>
        <v>1</v>
      </c>
      <c r="AN50" t="str">
        <f>IF(Sprachen!C3=TRUE,Tabelle2!AO50,IF(Sprachen!C4=TRUE,Tabelle2!AP50,IF(Sprachen!C5=TRUE,Tabelle2!AQ50)))</f>
        <v>buono</v>
      </c>
      <c r="AO50" s="60" t="s">
        <v>482</v>
      </c>
      <c r="AP50" s="32" t="s">
        <v>593</v>
      </c>
      <c r="AQ50" s="32" t="s">
        <v>599</v>
      </c>
    </row>
    <row r="51" spans="1:43" x14ac:dyDescent="0.25">
      <c r="A51" t="s">
        <v>75</v>
      </c>
      <c r="B51" t="b">
        <v>0</v>
      </c>
      <c r="C51" s="52" t="str">
        <f t="shared" si="5"/>
        <v>0</v>
      </c>
      <c r="D51" s="23" t="str">
        <f t="shared" si="9"/>
        <v>0</v>
      </c>
      <c r="E51" s="62">
        <v>29.5</v>
      </c>
      <c r="F51" s="9">
        <f>IF(AND(Tabelle3!$C$9=TRUE,Tabelle2!$A$29=TRUE),29,25)</f>
        <v>25</v>
      </c>
      <c r="G51" s="9" t="str">
        <f>IF($A$29=TRUE,F51,IF($A$28=TRUE,E51,""))</f>
        <v/>
      </c>
      <c r="H51" s="63" t="str">
        <f t="shared" si="27"/>
        <v/>
      </c>
      <c r="I51" t="s">
        <v>321</v>
      </c>
      <c r="J51">
        <v>50</v>
      </c>
      <c r="K51" s="23">
        <f>Schachtselector!$G$97</f>
        <v>0</v>
      </c>
      <c r="L51" s="23">
        <f t="shared" si="7"/>
        <v>0</v>
      </c>
      <c r="M51" s="23" t="str">
        <f t="shared" si="8"/>
        <v/>
      </c>
      <c r="Q51" t="e">
        <f>SUM(Q40:Q48)</f>
        <v>#VALUE!</v>
      </c>
      <c r="T51" t="e">
        <f>SUM(T40:T48)</f>
        <v>#VALUE!</v>
      </c>
      <c r="W51" t="e">
        <f>SUM(W40:W48)</f>
        <v>#VALUE!</v>
      </c>
      <c r="Z51" t="e">
        <f>SUM(Z40:Z48)</f>
        <v>#VALUE!</v>
      </c>
      <c r="AC51" t="e">
        <f>SUM(AC40:AC48)</f>
        <v>#VALUE!</v>
      </c>
      <c r="AF51" t="e">
        <f>SUM(AF40:AF48)</f>
        <v>#VALUE!</v>
      </c>
      <c r="AI51" t="e">
        <f>SUM(AI40:AI48)</f>
        <v>#VALUE!</v>
      </c>
      <c r="AL51" t="e">
        <f>SUM(AL40:AL48)</f>
        <v>#VALUE!</v>
      </c>
      <c r="AN51" t="str">
        <f>IF(Sprachen!C3=TRUE,Tabelle2!AO51,IF(Sprachen!C4=TRUE,Tabelle2!AP51,IF(Sprachen!C5=TRUE,Tabelle2!AQ51)))</f>
        <v>attenzione</v>
      </c>
      <c r="AO51" s="62" t="s">
        <v>481</v>
      </c>
      <c r="AP51" s="139" t="s">
        <v>594</v>
      </c>
      <c r="AQ51" s="139" t="s">
        <v>598</v>
      </c>
    </row>
    <row r="52" spans="1:43" x14ac:dyDescent="0.25">
      <c r="A52" t="s">
        <v>74</v>
      </c>
      <c r="C52" s="52"/>
      <c r="D52" s="23"/>
      <c r="E52" s="62"/>
      <c r="F52" s="9"/>
      <c r="G52" s="9"/>
      <c r="H52" s="63"/>
      <c r="K52" s="23"/>
      <c r="L52" s="23"/>
      <c r="M52" s="23" t="str">
        <f t="shared" si="8"/>
        <v/>
      </c>
      <c r="Q52" t="e">
        <f>IF(Q51=9,$AN$50,IF(OR(Q51=7,Q51=8),$AN$51,$AN$52))</f>
        <v>#VALUE!</v>
      </c>
      <c r="T52" t="e">
        <f>IF(T51=9,$AN$50,IF(OR(T51=7,T51=8),$AN$51,$AN$52))</f>
        <v>#VALUE!</v>
      </c>
      <c r="W52" t="e">
        <f>IF(W51=9,$AN$50,IF(OR(W51=7,W51=8),$AN$51,$AN$52))</f>
        <v>#VALUE!</v>
      </c>
      <c r="Z52" t="e">
        <f>IF(Z51=9,$AN$50,IF(OR(Z51=7,Z51=8),$AN$51,$AN$52))</f>
        <v>#VALUE!</v>
      </c>
      <c r="AC52" t="e">
        <f>IF(AC51=9,$AN$50,IF(OR(AC51=7,AC51=8),$AN$51,$AN$52))</f>
        <v>#VALUE!</v>
      </c>
      <c r="AF52" t="e">
        <f>IF(AF51=9,$AN$50,IF(OR(AF51=7,AF51=8),$AN$51,$AN$52))</f>
        <v>#VALUE!</v>
      </c>
      <c r="AI52" t="e">
        <f>IF(AI51=9,$AN$50,IF(OR(AI51=7,AI51=8),$AN$51,$AN$52))</f>
        <v>#VALUE!</v>
      </c>
      <c r="AL52" t="e">
        <f>IF(AL51=9,$AN$50,IF(OR(AL51=7,AL51=8),$AN$51,$AN$52))</f>
        <v>#VALUE!</v>
      </c>
      <c r="AN52" t="str">
        <f>IF(Sprachen!C3=TRUE,Tabelle2!AO52,IF(Sprachen!C4=TRUE,Tabelle2!AP52,IF(Sprachen!C5=TRUE,Tabelle2!AQ52)))</f>
        <v>inadatto</v>
      </c>
      <c r="AO52" s="65" t="s">
        <v>592</v>
      </c>
      <c r="AP52" s="140" t="s">
        <v>596</v>
      </c>
      <c r="AQ52" s="140" t="s">
        <v>597</v>
      </c>
    </row>
    <row r="53" spans="1:43" x14ac:dyDescent="0.25">
      <c r="A53" t="s">
        <v>76</v>
      </c>
      <c r="B53" t="b">
        <v>0</v>
      </c>
      <c r="C53" s="52" t="str">
        <f t="shared" si="5"/>
        <v>0</v>
      </c>
      <c r="D53" s="23" t="str">
        <f t="shared" si="9"/>
        <v>0</v>
      </c>
      <c r="E53" s="62">
        <v>33</v>
      </c>
      <c r="F53" s="9">
        <f>IF(AND(Tabelle3!$C$9=TRUE,Tabelle2!$A$29=TRUE),34,30)</f>
        <v>30</v>
      </c>
      <c r="G53" s="9" t="str">
        <f>IF($A$29=TRUE,F53,IF($A$28=TRUE,E53,""))</f>
        <v/>
      </c>
      <c r="H53" s="63" t="str">
        <f t="shared" si="27"/>
        <v/>
      </c>
      <c r="I53" t="s">
        <v>323</v>
      </c>
      <c r="J53">
        <v>50</v>
      </c>
      <c r="K53" s="23">
        <f>Schachtselector!$G$97</f>
        <v>0</v>
      </c>
      <c r="L53" s="23">
        <f t="shared" si="7"/>
        <v>0</v>
      </c>
      <c r="M53" s="23" t="str">
        <f t="shared" si="8"/>
        <v/>
      </c>
      <c r="W53" s="71" t="e">
        <f>W25+W23</f>
        <v>#VALUE!</v>
      </c>
    </row>
    <row r="54" spans="1:43" x14ac:dyDescent="0.25">
      <c r="A54" s="50" t="s">
        <v>68</v>
      </c>
      <c r="C54" s="52"/>
      <c r="D54" s="23"/>
      <c r="E54" s="64"/>
      <c r="F54" s="47"/>
      <c r="G54" s="9"/>
      <c r="H54" s="63"/>
      <c r="T54" s="71" t="e">
        <f>W23+W25</f>
        <v>#VALUE!</v>
      </c>
      <c r="W54" s="71" t="e">
        <f>W53-H88</f>
        <v>#VALUE!</v>
      </c>
    </row>
    <row r="55" spans="1:43" x14ac:dyDescent="0.25">
      <c r="B55" t="b">
        <v>0</v>
      </c>
      <c r="C55" s="52" t="str">
        <f t="shared" si="5"/>
        <v>0</v>
      </c>
      <c r="D55" s="23" t="str">
        <f t="shared" si="9"/>
        <v>0</v>
      </c>
      <c r="E55" s="65"/>
      <c r="F55" s="66">
        <f>Schachtselector!$C$118/10</f>
        <v>0</v>
      </c>
      <c r="G55" s="66">
        <f>F55</f>
        <v>0</v>
      </c>
      <c r="H55" s="67" t="str">
        <f t="shared" si="27"/>
        <v/>
      </c>
      <c r="Q55" s="28" t="str">
        <f>IF(Tabelle3!C7=TRUE,Tabelle2!Q51,"")</f>
        <v/>
      </c>
      <c r="T55" s="32" t="str">
        <f>IF(Tabelle3!C8=TRUE,Tabelle2!T51,"")</f>
        <v/>
      </c>
      <c r="W55" s="28" t="e">
        <f>IF(Tabelle3!C9=TRUE,Tabelle2!W51,"")</f>
        <v>#VALUE!</v>
      </c>
      <c r="Z55" s="28" t="str">
        <f>IF(Tabelle3!C10=TRUE,Tabelle2!Z51,"")</f>
        <v/>
      </c>
      <c r="AC55" s="28" t="str">
        <f>IF(Tabelle3!C11=TRUE,Tabelle2!AC51,"")</f>
        <v/>
      </c>
      <c r="AF55" s="28" t="str">
        <f>IF(Tabelle3!C12=TRUE,Tabelle2!AF51,"")</f>
        <v/>
      </c>
      <c r="AI55" s="28" t="str">
        <f>IF(Tabelle3!C13=TRUE,Tabelle2!AI51,"")</f>
        <v/>
      </c>
      <c r="AL55" s="28" t="str">
        <f>IF(Tabelle3!C14=TRUE,Tabelle2!AL51,"")</f>
        <v/>
      </c>
      <c r="AM55" t="e">
        <f>SUM(Q55:AL55)</f>
        <v>#VALUE!</v>
      </c>
    </row>
    <row r="56" spans="1:43" ht="15.75" thickBot="1" x14ac:dyDescent="0.3">
      <c r="B56" s="23">
        <f>D55+D53+D51+D49+D48+D47+D45+D44</f>
        <v>0</v>
      </c>
      <c r="C56" s="52">
        <f>D55+D53+D51+D49+D48+D47+D45+D44+D42+D40+D38+D37+D35+D34+D33+D32</f>
        <v>0</v>
      </c>
      <c r="G56" s="3"/>
      <c r="H56" s="4"/>
      <c r="Q56" s="28" t="str">
        <f>IF(Tabelle3!C7=TRUE,Q67,"")</f>
        <v/>
      </c>
      <c r="T56" s="28" t="str">
        <f>IF(Tabelle3!C8=TRUE,Q68,"")</f>
        <v/>
      </c>
      <c r="W56" s="28" t="str">
        <f>IF(Tabelle3!C9=TRUE,Q69,"")</f>
        <v xml:space="preserve"> /  /  /  /  /  /  /  /  / </v>
      </c>
      <c r="Z56" s="28" t="str">
        <f>IF(Tabelle3!C10=TRUE,Q70,"")</f>
        <v/>
      </c>
      <c r="AC56" s="28" t="str">
        <f>IF(Tabelle3!C11=TRUE,Q71,"")</f>
        <v/>
      </c>
      <c r="AF56" s="28" t="str">
        <f>IF(Tabelle3!C12=TRUE,Q72,"")</f>
        <v/>
      </c>
      <c r="AI56" t="str">
        <f>IF(Tabelle3!C13=TRUE,Q73,"")</f>
        <v/>
      </c>
      <c r="AL56" t="str">
        <f>IF(Tabelle3!C14=TRUE,Q74,"")</f>
        <v/>
      </c>
      <c r="AM56" t="str">
        <f>AL56&amp;AI56&amp;AF56&amp;AC56&amp;Z56&amp;W56&amp;T56&amp;Q56</f>
        <v xml:space="preserve"> /  /  /  /  /  /  /  /  / </v>
      </c>
    </row>
    <row r="57" spans="1:43" ht="15.75" thickBot="1" x14ac:dyDescent="0.3">
      <c r="A57" s="60" t="s">
        <v>43</v>
      </c>
      <c r="B57" s="38"/>
      <c r="C57" s="52"/>
      <c r="G57" s="3"/>
      <c r="H57" s="4"/>
      <c r="M57" s="191">
        <f>SUM(M32:M55)</f>
        <v>0</v>
      </c>
      <c r="N57" s="60">
        <v>1</v>
      </c>
      <c r="O57" s="61"/>
      <c r="P57" s="61"/>
      <c r="Q57" s="61" t="str">
        <f>IF(ISERROR(VLOOKUP(N57,$O$40:$Q$48,3,0)),"",(VLOOKUP(N57,$O$40:$Q$48,3,0)))</f>
        <v/>
      </c>
      <c r="R57" s="61"/>
      <c r="S57" s="61"/>
      <c r="T57" s="9" t="str">
        <f>IF(ISERROR(VLOOKUP(N57,$R$40:$T$48,3,0)),"",(VLOOKUP(N57,$R$40:$T$48,3,0)))</f>
        <v/>
      </c>
      <c r="U57" s="61"/>
      <c r="V57" s="61"/>
      <c r="W57" s="61" t="str">
        <f>IF(ISERROR(VLOOKUP(N57,$U$40:$W$48,3,0)),"",(VLOOKUP(N57,$U$40:$W$48,3,0)))</f>
        <v/>
      </c>
      <c r="X57" s="61"/>
      <c r="Y57" s="61"/>
      <c r="Z57" s="61" t="str">
        <f>IF(ISERROR(VLOOKUP(N57,$X$40:$Z$48,3,0)),"",(VLOOKUP(N57,$X$40:$Z$48,3,0)))</f>
        <v/>
      </c>
      <c r="AA57" s="61"/>
      <c r="AB57" s="61"/>
      <c r="AC57" s="61" t="str">
        <f>IF(ISERROR(VLOOKUP(N57,$AA$40:$AC$48,3,0)),"",(VLOOKUP(N57,$AA$40:$AC$48,3,0)))</f>
        <v/>
      </c>
      <c r="AD57" s="61"/>
      <c r="AE57" s="61"/>
      <c r="AF57" s="61" t="str">
        <f>IF(ISERROR(VLOOKUP(N57,$AD$40:$AF$48,3,0)),"",(VLOOKUP(N57,$AD$40:$AF$48,3,0)))</f>
        <v/>
      </c>
      <c r="AG57" s="61"/>
      <c r="AH57" s="61"/>
      <c r="AI57" s="61" t="str">
        <f>IF(ISERROR(VLOOKUP(N57,$AG$40:$AI$48,3,0)),"",(VLOOKUP(N57,$AG$40:$AI$48,3,0)))</f>
        <v/>
      </c>
      <c r="AJ57" s="61"/>
      <c r="AK57" s="61"/>
      <c r="AL57" s="38" t="str">
        <f>IF(ISERROR(VLOOKUP(N57,$AJ$40:$AL$48,3,0)),"",(VLOOKUP(N57,$AJ$40:$AL$48,3,0)))</f>
        <v/>
      </c>
    </row>
    <row r="58" spans="1:43" ht="15.75" thickBot="1" x14ac:dyDescent="0.3">
      <c r="A58" s="65"/>
      <c r="B58" s="67" t="b">
        <f>IF(OR(B38=TRUE,B40=TRUE),TRUE,FALSE)</f>
        <v>0</v>
      </c>
      <c r="C58" s="398" t="str">
        <f>IF(Tabelle2!C56=1,"",IF(Tabelle2!C56&gt;=2,"Nur 1 Auswahl Möglich",""))</f>
        <v/>
      </c>
      <c r="G58" s="5">
        <f>H58+G43</f>
        <v>0</v>
      </c>
      <c r="H58" s="6">
        <f>SUM(H44:H57)</f>
        <v>0</v>
      </c>
      <c r="N58" s="62">
        <v>2</v>
      </c>
      <c r="O58" s="9"/>
      <c r="P58" s="9"/>
      <c r="Q58" s="9" t="str">
        <f t="shared" ref="Q58:Q64" si="44">IF(ISERROR(VLOOKUP(N58,$O$40:$Q$48,3,0)),"",(VLOOKUP(N58,$O$40:$Q$48,3,0)))</f>
        <v/>
      </c>
      <c r="R58" s="9"/>
      <c r="S58" s="9"/>
      <c r="T58" s="9" t="str">
        <f t="shared" ref="T58:T65" si="45">IF(ISERROR(VLOOKUP(N58,$R$40:$T$48,3,0)),"",(VLOOKUP(N58,$R$40:$T$48,3,0)))</f>
        <v/>
      </c>
      <c r="U58" s="9"/>
      <c r="V58" s="9"/>
      <c r="W58" s="9" t="str">
        <f t="shared" ref="W58:W65" si="46">IF(ISERROR(VLOOKUP(N58,$U$40:$W$48,3,0)),"",(VLOOKUP(N58,$U$40:$W$48,3,0)))</f>
        <v/>
      </c>
      <c r="X58" s="9"/>
      <c r="Y58" s="9"/>
      <c r="Z58" s="9" t="str">
        <f>IF(ISERROR(VLOOKUP(N58,$X$40:$Z$48,3,0)),"",(VLOOKUP(N58,$X$40:$Z$48,3,0)))</f>
        <v/>
      </c>
      <c r="AA58" s="9"/>
      <c r="AB58" s="9"/>
      <c r="AC58" s="9" t="str">
        <f t="shared" ref="AC58:AC65" si="47">IF(ISERROR(VLOOKUP(N58,$AA$40:$AC$48,3,0)),"",(VLOOKUP(N58,$AA$40:$AC$48,3,0)))</f>
        <v/>
      </c>
      <c r="AD58" s="9"/>
      <c r="AE58" s="9"/>
      <c r="AF58" s="9" t="str">
        <f t="shared" ref="AF58:AF65" si="48">IF(ISERROR(VLOOKUP(N58,$AD$40:$AF$48,3,0)),"",(VLOOKUP(N58,$AD$40:$AF$48,3,0)))</f>
        <v/>
      </c>
      <c r="AG58" s="9"/>
      <c r="AH58" s="9"/>
      <c r="AI58" s="9" t="str">
        <f t="shared" ref="AI58:AI65" si="49">IF(ISERROR(VLOOKUP(N58,$AG$40:$AI$48,3,0)),"",(VLOOKUP(N58,$AG$40:$AI$48,3,0)))</f>
        <v/>
      </c>
      <c r="AJ58" s="9"/>
      <c r="AK58" s="9"/>
      <c r="AL58" s="63" t="str">
        <f t="shared" ref="AL58:AL65" si="50">IF(ISERROR(VLOOKUP(N58,$AJ$40:$AL$48,3,0)),"",(VLOOKUP(N58,$AJ$40:$AL$48,3,0)))</f>
        <v/>
      </c>
    </row>
    <row r="59" spans="1:43" x14ac:dyDescent="0.25">
      <c r="A59" t="s">
        <v>126</v>
      </c>
      <c r="C59" s="93">
        <f>C55+C53+C51+C49+C48+C47+C45+C44+D44+D45+D47+D48+D49+D51+D53+D55</f>
        <v>0</v>
      </c>
      <c r="N59" s="62">
        <v>3</v>
      </c>
      <c r="O59" s="9"/>
      <c r="P59" s="9"/>
      <c r="Q59" s="9" t="str">
        <f t="shared" si="44"/>
        <v/>
      </c>
      <c r="R59" s="9"/>
      <c r="S59" s="9"/>
      <c r="T59" s="9" t="str">
        <f t="shared" si="45"/>
        <v/>
      </c>
      <c r="U59" s="9"/>
      <c r="V59" s="9"/>
      <c r="W59" s="9" t="str">
        <f t="shared" si="46"/>
        <v/>
      </c>
      <c r="X59" s="9"/>
      <c r="Y59" s="9"/>
      <c r="Z59" s="9" t="str">
        <f t="shared" ref="Z59:Z65" si="51">IF(ISERROR(VLOOKUP(N59,$X$40:$Z$48,3,0)),"",(VLOOKUP(N59,$X$40:$Z$48,3,0)))</f>
        <v/>
      </c>
      <c r="AA59" s="9"/>
      <c r="AB59" s="9"/>
      <c r="AC59" s="9" t="str">
        <f t="shared" si="47"/>
        <v/>
      </c>
      <c r="AD59" s="9"/>
      <c r="AE59" s="9"/>
      <c r="AF59" s="9" t="str">
        <f t="shared" si="48"/>
        <v/>
      </c>
      <c r="AG59" s="9"/>
      <c r="AH59" s="9"/>
      <c r="AI59" s="9" t="str">
        <f t="shared" si="49"/>
        <v/>
      </c>
      <c r="AJ59" s="9"/>
      <c r="AK59" s="9"/>
      <c r="AL59" s="63" t="str">
        <f t="shared" si="50"/>
        <v/>
      </c>
    </row>
    <row r="60" spans="1:43" ht="15.75" thickBot="1" x14ac:dyDescent="0.3">
      <c r="C60" s="51"/>
      <c r="N60" s="62">
        <v>4</v>
      </c>
      <c r="O60" s="9"/>
      <c r="P60" s="9"/>
      <c r="Q60" s="9" t="str">
        <f t="shared" si="44"/>
        <v/>
      </c>
      <c r="R60" s="9"/>
      <c r="S60" s="9"/>
      <c r="T60" s="9" t="str">
        <f t="shared" si="45"/>
        <v/>
      </c>
      <c r="U60" s="9"/>
      <c r="V60" s="9"/>
      <c r="W60" s="9" t="str">
        <f t="shared" si="46"/>
        <v/>
      </c>
      <c r="X60" s="9"/>
      <c r="Y60" s="9"/>
      <c r="Z60" s="9" t="str">
        <f t="shared" si="51"/>
        <v/>
      </c>
      <c r="AA60" s="9"/>
      <c r="AB60" s="9"/>
      <c r="AC60" s="9" t="str">
        <f t="shared" si="47"/>
        <v/>
      </c>
      <c r="AD60" s="9"/>
      <c r="AE60" s="9"/>
      <c r="AF60" s="9" t="str">
        <f t="shared" si="48"/>
        <v/>
      </c>
      <c r="AG60" s="9"/>
      <c r="AH60" s="9"/>
      <c r="AI60" s="9" t="str">
        <f t="shared" si="49"/>
        <v/>
      </c>
      <c r="AJ60" s="9"/>
      <c r="AK60" s="9"/>
      <c r="AL60" s="63" t="str">
        <f t="shared" si="50"/>
        <v/>
      </c>
    </row>
    <row r="61" spans="1:43" ht="15.75" thickBot="1" x14ac:dyDescent="0.3">
      <c r="A61" t="s">
        <v>286</v>
      </c>
      <c r="C61" s="51"/>
      <c r="D61" s="12" t="s">
        <v>58</v>
      </c>
      <c r="E61" s="96" t="s">
        <v>111</v>
      </c>
      <c r="F61" s="53" t="s">
        <v>112</v>
      </c>
      <c r="G61" s="74" t="s">
        <v>79</v>
      </c>
      <c r="N61" s="62">
        <v>5</v>
      </c>
      <c r="O61" s="9"/>
      <c r="P61" s="9"/>
      <c r="Q61" s="9" t="str">
        <f t="shared" si="44"/>
        <v/>
      </c>
      <c r="R61" s="9"/>
      <c r="S61" s="9"/>
      <c r="T61" s="9" t="str">
        <f t="shared" si="45"/>
        <v/>
      </c>
      <c r="U61" s="9"/>
      <c r="V61" s="9"/>
      <c r="W61" s="9" t="str">
        <f t="shared" si="46"/>
        <v/>
      </c>
      <c r="X61" s="9"/>
      <c r="Y61" s="9"/>
      <c r="Z61" s="9" t="str">
        <f t="shared" si="51"/>
        <v/>
      </c>
      <c r="AA61" s="9"/>
      <c r="AB61" s="9"/>
      <c r="AC61" s="9" t="str">
        <f t="shared" si="47"/>
        <v/>
      </c>
      <c r="AD61" s="9"/>
      <c r="AE61" s="9"/>
      <c r="AF61" s="9" t="str">
        <f t="shared" si="48"/>
        <v/>
      </c>
      <c r="AG61" s="9"/>
      <c r="AH61" s="9"/>
      <c r="AI61" s="9" t="str">
        <f t="shared" si="49"/>
        <v/>
      </c>
      <c r="AJ61" s="9"/>
      <c r="AK61" s="9"/>
      <c r="AL61" s="63" t="str">
        <f t="shared" si="50"/>
        <v/>
      </c>
    </row>
    <row r="62" spans="1:43" ht="15.75" thickBot="1" x14ac:dyDescent="0.3">
      <c r="A62" s="28"/>
      <c r="B62" s="28" t="s">
        <v>287</v>
      </c>
      <c r="C62" s="51"/>
      <c r="D62" s="13"/>
      <c r="E62" s="73">
        <v>42.5</v>
      </c>
      <c r="F62" s="75"/>
      <c r="G62" s="2" t="str">
        <f>IF(B32=TRUE,E62,"")</f>
        <v/>
      </c>
      <c r="N62" s="62">
        <v>6</v>
      </c>
      <c r="O62" s="9"/>
      <c r="P62" s="9"/>
      <c r="Q62" s="9" t="str">
        <f t="shared" si="44"/>
        <v/>
      </c>
      <c r="R62" s="9"/>
      <c r="S62" s="9"/>
      <c r="T62" s="9" t="str">
        <f t="shared" si="45"/>
        <v/>
      </c>
      <c r="U62" s="9"/>
      <c r="V62" s="9"/>
      <c r="W62" s="9" t="str">
        <f t="shared" si="46"/>
        <v/>
      </c>
      <c r="X62" s="9"/>
      <c r="Y62" s="9"/>
      <c r="Z62" s="9" t="str">
        <f t="shared" si="51"/>
        <v/>
      </c>
      <c r="AA62" s="9"/>
      <c r="AB62" s="9"/>
      <c r="AC62" s="9" t="str">
        <f t="shared" si="47"/>
        <v/>
      </c>
      <c r="AD62" s="9"/>
      <c r="AE62" s="9"/>
      <c r="AF62" s="9" t="str">
        <f t="shared" si="48"/>
        <v/>
      </c>
      <c r="AG62" s="9"/>
      <c r="AH62" s="9"/>
      <c r="AI62" s="9" t="str">
        <f t="shared" si="49"/>
        <v/>
      </c>
      <c r="AJ62" s="9"/>
      <c r="AK62" s="9"/>
      <c r="AL62" s="63" t="str">
        <f t="shared" si="50"/>
        <v/>
      </c>
    </row>
    <row r="63" spans="1:43" ht="15.75" thickBot="1" x14ac:dyDescent="0.3">
      <c r="A63" s="28" t="str">
        <f>IF(B49=TRUE,B62,IF(B48=TRUE,B62,IF(B45=TRUE,B62,"")))</f>
        <v/>
      </c>
      <c r="B63" s="28"/>
      <c r="D63" s="13"/>
      <c r="E63" s="73">
        <v>45</v>
      </c>
      <c r="F63" s="75"/>
      <c r="G63" s="2" t="str">
        <f t="shared" ref="G63:G72" si="52">IF(B33=TRUE,E63,"")</f>
        <v/>
      </c>
      <c r="N63" s="62">
        <v>7</v>
      </c>
      <c r="O63" s="9"/>
      <c r="P63" s="9"/>
      <c r="Q63" s="9" t="str">
        <f t="shared" si="44"/>
        <v/>
      </c>
      <c r="R63" s="9"/>
      <c r="S63" s="9"/>
      <c r="T63" s="9" t="str">
        <f t="shared" si="45"/>
        <v/>
      </c>
      <c r="U63" s="9"/>
      <c r="V63" s="9"/>
      <c r="W63" s="9" t="str">
        <f t="shared" si="46"/>
        <v/>
      </c>
      <c r="X63" s="9"/>
      <c r="Y63" s="9"/>
      <c r="Z63" s="9" t="str">
        <f t="shared" si="51"/>
        <v/>
      </c>
      <c r="AA63" s="9"/>
      <c r="AB63" s="9"/>
      <c r="AC63" s="9" t="str">
        <f t="shared" si="47"/>
        <v/>
      </c>
      <c r="AD63" s="9"/>
      <c r="AE63" s="9"/>
      <c r="AF63" s="9" t="str">
        <f t="shared" si="48"/>
        <v/>
      </c>
      <c r="AG63" s="9"/>
      <c r="AH63" s="9"/>
      <c r="AI63" s="9" t="str">
        <f t="shared" si="49"/>
        <v/>
      </c>
      <c r="AJ63" s="9"/>
      <c r="AK63" s="9"/>
      <c r="AL63" s="63" t="str">
        <f t="shared" si="50"/>
        <v/>
      </c>
    </row>
    <row r="64" spans="1:43" ht="15.75" thickBot="1" x14ac:dyDescent="0.3">
      <c r="D64" s="13"/>
      <c r="E64" s="73">
        <v>45</v>
      </c>
      <c r="F64" s="75"/>
      <c r="G64" s="2" t="str">
        <f t="shared" si="52"/>
        <v/>
      </c>
      <c r="N64" s="62">
        <v>8</v>
      </c>
      <c r="O64" s="9"/>
      <c r="P64" s="9"/>
      <c r="Q64" s="9" t="str">
        <f t="shared" si="44"/>
        <v/>
      </c>
      <c r="R64" s="9"/>
      <c r="S64" s="9"/>
      <c r="T64" s="9" t="str">
        <f t="shared" si="45"/>
        <v/>
      </c>
      <c r="U64" s="9"/>
      <c r="V64" s="9"/>
      <c r="W64" s="9" t="str">
        <f t="shared" si="46"/>
        <v/>
      </c>
      <c r="X64" s="9"/>
      <c r="Y64" s="9"/>
      <c r="Z64" s="9" t="str">
        <f t="shared" si="51"/>
        <v/>
      </c>
      <c r="AA64" s="9"/>
      <c r="AB64" s="9"/>
      <c r="AC64" s="9" t="str">
        <f t="shared" si="47"/>
        <v/>
      </c>
      <c r="AD64" s="9"/>
      <c r="AE64" s="9"/>
      <c r="AF64" s="9" t="str">
        <f t="shared" si="48"/>
        <v/>
      </c>
      <c r="AG64" s="9"/>
      <c r="AH64" s="9"/>
      <c r="AI64" s="9" t="str">
        <f t="shared" si="49"/>
        <v/>
      </c>
      <c r="AJ64" s="9"/>
      <c r="AK64" s="9"/>
      <c r="AL64" s="63" t="str">
        <f t="shared" si="50"/>
        <v/>
      </c>
    </row>
    <row r="65" spans="1:38" ht="15.75" thickBot="1" x14ac:dyDescent="0.3">
      <c r="D65" s="13"/>
      <c r="E65" s="73">
        <v>45</v>
      </c>
      <c r="F65" s="75"/>
      <c r="G65" s="2" t="str">
        <f t="shared" si="52"/>
        <v/>
      </c>
      <c r="N65" s="65">
        <v>9</v>
      </c>
      <c r="O65" s="66"/>
      <c r="P65" s="66"/>
      <c r="Q65" s="66" t="str">
        <f>IF(ISERROR(VLOOKUP(N65,$O$40:$Q$48,3,0)),"",(VLOOKUP(N65,$O$40:$Q$48,3,0)))</f>
        <v/>
      </c>
      <c r="R65" s="66"/>
      <c r="S65" s="66"/>
      <c r="T65" s="66" t="str">
        <f t="shared" si="45"/>
        <v/>
      </c>
      <c r="U65" s="66"/>
      <c r="V65" s="66"/>
      <c r="W65" s="66" t="str">
        <f t="shared" si="46"/>
        <v/>
      </c>
      <c r="X65" s="66"/>
      <c r="Y65" s="66"/>
      <c r="Z65" s="66" t="str">
        <f t="shared" si="51"/>
        <v/>
      </c>
      <c r="AA65" s="66"/>
      <c r="AB65" s="66"/>
      <c r="AC65" s="66" t="str">
        <f t="shared" si="47"/>
        <v/>
      </c>
      <c r="AD65" s="66"/>
      <c r="AE65" s="66"/>
      <c r="AF65" s="66" t="str">
        <f t="shared" si="48"/>
        <v/>
      </c>
      <c r="AG65" s="66"/>
      <c r="AH65" s="66"/>
      <c r="AI65" s="66" t="str">
        <f t="shared" si="49"/>
        <v/>
      </c>
      <c r="AJ65" s="66"/>
      <c r="AK65" s="66"/>
      <c r="AL65" s="67" t="str">
        <f t="shared" si="50"/>
        <v/>
      </c>
    </row>
    <row r="66" spans="1:38" ht="15.75" thickBot="1" x14ac:dyDescent="0.3">
      <c r="A66" s="1">
        <f>Schachtselector!$C$86</f>
        <v>0</v>
      </c>
      <c r="B66" s="2"/>
      <c r="D66" s="13" t="s">
        <v>69</v>
      </c>
      <c r="E66" s="73"/>
      <c r="F66" s="75"/>
      <c r="G66" s="2" t="str">
        <f t="shared" si="52"/>
        <v/>
      </c>
      <c r="N66" s="56"/>
      <c r="O66" s="56"/>
      <c r="P66" s="56"/>
    </row>
    <row r="67" spans="1:38" ht="15.75" thickBot="1" x14ac:dyDescent="0.3">
      <c r="A67" s="95">
        <f>Schachtselector!$G$87</f>
        <v>0</v>
      </c>
      <c r="B67" s="4"/>
      <c r="D67" s="13"/>
      <c r="E67" s="73">
        <v>40</v>
      </c>
      <c r="F67" s="75"/>
      <c r="G67" s="2" t="str">
        <f t="shared" si="52"/>
        <v/>
      </c>
      <c r="N67" s="56" t="s">
        <v>43</v>
      </c>
      <c r="O67" s="56"/>
      <c r="P67" s="56" t="e">
        <f>Q$52</f>
        <v>#VALUE!</v>
      </c>
      <c r="Q67" t="str">
        <f>Q$57&amp;" / "&amp;Q$58&amp;" / "&amp;Q$59&amp;" / "&amp;Q$60&amp;" / "&amp;Q$61&amp;" / "&amp;Q$62&amp;" / "&amp;Q$63&amp;" / "&amp;Q$64&amp;" / "&amp;Q$65&amp;" / "</f>
        <v xml:space="preserve"> /  /  /  /  /  /  /  /  / </v>
      </c>
    </row>
    <row r="68" spans="1:38" ht="15.75" thickBot="1" x14ac:dyDescent="0.3">
      <c r="A68" s="5">
        <f>SUM(A66:A67)</f>
        <v>0</v>
      </c>
      <c r="B68" s="6" t="b">
        <f>IF(A68&gt;0.1,TRUE,FALSE)</f>
        <v>0</v>
      </c>
      <c r="D68" s="13"/>
      <c r="E68" s="73">
        <v>50</v>
      </c>
      <c r="F68" s="75"/>
      <c r="G68" s="2" t="str">
        <f t="shared" si="52"/>
        <v/>
      </c>
      <c r="N68" s="55" t="s">
        <v>113</v>
      </c>
      <c r="P68" s="56" t="e">
        <f>T$52</f>
        <v>#VALUE!</v>
      </c>
      <c r="Q68" t="str">
        <f>T$57&amp;" / "&amp;T$58&amp;" / "&amp;T$59&amp;" / "&amp;T$60&amp;" / "&amp;T$61&amp;" / "&amp;T$62&amp;" / "&amp;T$63&amp;" / "&amp;T$64&amp;" / "&amp;T$65&amp;" / "</f>
        <v xml:space="preserve"> /  /  /  /  /  /  /  /  / </v>
      </c>
    </row>
    <row r="69" spans="1:38" ht="15.75" thickBot="1" x14ac:dyDescent="0.3">
      <c r="D69" s="13" t="s">
        <v>56</v>
      </c>
      <c r="E69" s="73"/>
      <c r="F69" s="75"/>
      <c r="G69" s="2" t="str">
        <f t="shared" si="52"/>
        <v/>
      </c>
      <c r="N69" s="55" t="s">
        <v>114</v>
      </c>
      <c r="P69" s="56" t="e">
        <f>W$52</f>
        <v>#VALUE!</v>
      </c>
      <c r="Q69" t="str">
        <f>W$57&amp;" / "&amp;W$58&amp;" / "&amp;W$59&amp;" / "&amp;W$60&amp;" / "&amp;W$61&amp;" / "&amp;W$62&amp;" / "&amp;W$63&amp;" / "&amp;W$64&amp;" / "&amp;W$65&amp;" / "</f>
        <v xml:space="preserve"> /  /  /  /  /  /  /  /  / </v>
      </c>
    </row>
    <row r="70" spans="1:38" ht="15.75" thickBot="1" x14ac:dyDescent="0.3">
      <c r="D70" s="13"/>
      <c r="E70" s="73">
        <v>50</v>
      </c>
      <c r="F70" s="75"/>
      <c r="G70" s="2" t="str">
        <f t="shared" si="52"/>
        <v/>
      </c>
      <c r="N70" s="55" t="s">
        <v>115</v>
      </c>
      <c r="P70" s="56" t="e">
        <f>Z$52</f>
        <v>#VALUE!</v>
      </c>
      <c r="Q70" t="str">
        <f>Z$57&amp;" / "&amp;Z$58&amp;" / "&amp;Z$59&amp;" / "&amp;Z$60&amp;" / "&amp;Z$61&amp;" / "&amp;Z$62&amp;" / "&amp;Z$63&amp;" / "&amp;Z$64&amp;" / "&amp;Z$65&amp;" / "</f>
        <v xml:space="preserve"> /  /  /  /  /  /  /  /  / </v>
      </c>
    </row>
    <row r="71" spans="1:38" ht="15.75" thickBot="1" x14ac:dyDescent="0.3">
      <c r="A71" t="s">
        <v>647</v>
      </c>
      <c r="D71" s="13" t="s">
        <v>70</v>
      </c>
      <c r="E71" s="73"/>
      <c r="F71" s="75"/>
      <c r="G71" s="2" t="str">
        <f t="shared" si="52"/>
        <v/>
      </c>
      <c r="N71" s="55" t="s">
        <v>118</v>
      </c>
      <c r="P71" s="56" t="e">
        <f>AC$52</f>
        <v>#VALUE!</v>
      </c>
      <c r="Q71" t="str">
        <f>AC$57&amp;" / "&amp;AC$58&amp;" / "&amp;AC$59&amp;" / "&amp;AC$60&amp;" / "&amp;AC$61&amp;" / "&amp;AC$62&amp;" / "&amp;AC$63&amp;" / "&amp;AC$64&amp;" / "&amp;AC$65&amp;" / "</f>
        <v xml:space="preserve"> /  /  /  /  /  /  /  /  / </v>
      </c>
    </row>
    <row r="72" spans="1:38" x14ac:dyDescent="0.25">
      <c r="A72">
        <v>100</v>
      </c>
      <c r="D72" s="13"/>
      <c r="E72" s="73">
        <v>45</v>
      </c>
      <c r="F72" s="75"/>
      <c r="G72" s="2" t="str">
        <f t="shared" si="52"/>
        <v/>
      </c>
      <c r="N72" s="55" t="s">
        <v>119</v>
      </c>
      <c r="O72" s="55"/>
      <c r="P72" s="56" t="e">
        <f>AF$52</f>
        <v>#VALUE!</v>
      </c>
      <c r="Q72" t="str">
        <f>AF$57&amp;" / "&amp;AF$58&amp;" / "&amp;AF$59&amp;" / "&amp;AF$60&amp;" / "&amp;AF$61&amp;" / "&amp;AF$62&amp;" / "&amp;AF$63&amp;" / "&amp;AF$64&amp;" / "&amp;AF$65&amp;" / "</f>
        <v xml:space="preserve"> /  /  /  /  /  /  /  /  / </v>
      </c>
    </row>
    <row r="73" spans="1:38" ht="15.75" thickBot="1" x14ac:dyDescent="0.3">
      <c r="D73" s="13" t="s">
        <v>71</v>
      </c>
      <c r="E73" s="73" t="s">
        <v>129</v>
      </c>
      <c r="F73" s="75"/>
      <c r="G73">
        <f>SUM(G62:G72)</f>
        <v>0</v>
      </c>
      <c r="I73" t="s">
        <v>128</v>
      </c>
      <c r="N73" s="55" t="s">
        <v>116</v>
      </c>
      <c r="O73" s="55"/>
      <c r="P73" s="56" t="e">
        <f>AI$52</f>
        <v>#VALUE!</v>
      </c>
      <c r="Q73" t="str">
        <f>AI$57&amp;" / "&amp;AI$58&amp;" / "&amp;AI$59&amp;" / "&amp;AI$60&amp;" / "&amp;AI$61&amp;" / "&amp;AI$62&amp;" / "&amp;AI$63&amp;" / "&amp;AI$64&amp;" / "&amp;AI$65&amp;" / "</f>
        <v xml:space="preserve"> /  /  /  /  /  /  /  /  / </v>
      </c>
    </row>
    <row r="74" spans="1:38" x14ac:dyDescent="0.25">
      <c r="D74" s="13"/>
      <c r="E74" s="97">
        <v>80</v>
      </c>
      <c r="F74" s="76">
        <v>80</v>
      </c>
      <c r="G74" s="1">
        <f>IF($B$68=TRUE,IF($A$28=TRUE,F74,IF($A$29=TRUE,E74,"")),I74)</f>
        <v>50</v>
      </c>
      <c r="H74" s="38" t="str">
        <f>IF(B44=TRUE,G74+J74,"")</f>
        <v/>
      </c>
      <c r="I74" s="104">
        <v>50</v>
      </c>
      <c r="J74" s="98">
        <f>IF(J90=TRUE,K74,0)</f>
        <v>0</v>
      </c>
      <c r="K74" s="98">
        <v>15</v>
      </c>
      <c r="L74" s="98"/>
      <c r="M74" s="98"/>
      <c r="N74" s="55" t="s">
        <v>117</v>
      </c>
      <c r="O74" s="55"/>
      <c r="P74" s="56" t="e">
        <f>AL$52</f>
        <v>#VALUE!</v>
      </c>
      <c r="Q74" t="str">
        <f>AL$57&amp;" / "&amp;AL$58&amp;" / "&amp;AL$59&amp;" / "&amp;AL$60&amp;" / "&amp;AL$61&amp;" / "&amp;AL$62&amp;" / "&amp;AL$63&amp;" / "&amp;AL$64&amp;" / "&amp;AL$65&amp;" / "</f>
        <v xml:space="preserve"> /  /  /  /  /  /  /  /  / </v>
      </c>
    </row>
    <row r="75" spans="1:38" x14ac:dyDescent="0.25">
      <c r="D75" s="13"/>
      <c r="E75" s="98">
        <v>110</v>
      </c>
      <c r="F75" s="75">
        <v>115</v>
      </c>
      <c r="G75" s="102">
        <f t="shared" ref="G75:G85" si="53">IF($B$68=TRUE,IF($A$28=TRUE,F75,IF($A$29=TRUE,E75,"")),I75)</f>
        <v>60</v>
      </c>
      <c r="H75" s="38" t="str">
        <f>IF(B45=TRUE,G75+J75,"")</f>
        <v/>
      </c>
      <c r="I75" s="105">
        <v>60</v>
      </c>
      <c r="J75" s="98">
        <f>IF($J$90=TRUE,K75,0)</f>
        <v>0</v>
      </c>
      <c r="K75" s="98">
        <v>15</v>
      </c>
      <c r="L75" s="98"/>
      <c r="M75" s="98"/>
      <c r="N75" s="56"/>
      <c r="O75" s="56"/>
      <c r="P75" s="56"/>
    </row>
    <row r="76" spans="1:38" x14ac:dyDescent="0.25">
      <c r="D76" s="13" t="s">
        <v>72</v>
      </c>
      <c r="E76" s="98"/>
      <c r="F76" s="75"/>
      <c r="G76" s="102"/>
      <c r="H76" s="38" t="str">
        <f t="shared" ref="H76:H84" si="54">IF(B46=TRUE,G76,"")</f>
        <v/>
      </c>
      <c r="I76" s="105"/>
      <c r="J76" s="98"/>
      <c r="K76" s="98"/>
      <c r="L76" s="98"/>
      <c r="M76" s="98"/>
      <c r="N76" s="82"/>
      <c r="O76" s="82"/>
      <c r="P76" s="82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</row>
    <row r="77" spans="1:38" x14ac:dyDescent="0.25">
      <c r="D77" s="13"/>
      <c r="E77" s="97">
        <v>90</v>
      </c>
      <c r="F77" s="75">
        <v>94</v>
      </c>
      <c r="G77" s="102">
        <f t="shared" si="53"/>
        <v>50</v>
      </c>
      <c r="H77" s="38" t="str">
        <f>IF(B47=TRUE,G77+J77,"")</f>
        <v/>
      </c>
      <c r="I77" s="105">
        <v>50</v>
      </c>
      <c r="J77" s="98">
        <f t="shared" ref="J77:J85" si="55">IF($J$90=TRUE,K77,0)</f>
        <v>0</v>
      </c>
      <c r="K77" s="98">
        <v>15</v>
      </c>
      <c r="L77" s="98"/>
      <c r="M77" s="98"/>
      <c r="N77" s="56"/>
      <c r="O77" s="56"/>
      <c r="P77" s="56"/>
      <c r="Q77" s="84"/>
      <c r="R77" s="84"/>
      <c r="S77" s="84"/>
      <c r="T77" s="84"/>
      <c r="U77" s="84"/>
      <c r="V77" s="84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</row>
    <row r="78" spans="1:38" x14ac:dyDescent="0.25">
      <c r="D78" s="13"/>
      <c r="E78" s="98">
        <v>100</v>
      </c>
      <c r="F78" s="75">
        <v>102</v>
      </c>
      <c r="G78" s="102">
        <f t="shared" si="53"/>
        <v>60</v>
      </c>
      <c r="H78" s="38" t="str">
        <f>IF(B48=TRUE,G78+J78,"")</f>
        <v/>
      </c>
      <c r="I78" s="105">
        <v>60</v>
      </c>
      <c r="J78" s="98">
        <f t="shared" si="55"/>
        <v>0</v>
      </c>
      <c r="K78" s="98">
        <v>15</v>
      </c>
      <c r="L78" s="98"/>
      <c r="M78" s="98"/>
      <c r="N78" s="69"/>
      <c r="O78" s="69"/>
      <c r="P78" s="69"/>
      <c r="Q78" s="84"/>
      <c r="R78" s="84"/>
      <c r="S78" s="84"/>
      <c r="T78" s="84"/>
      <c r="U78" s="84"/>
      <c r="V78" s="84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</row>
    <row r="79" spans="1:38" x14ac:dyDescent="0.25">
      <c r="D79" s="13"/>
      <c r="E79" s="98">
        <v>130</v>
      </c>
      <c r="F79" s="75">
        <v>124</v>
      </c>
      <c r="G79" s="102">
        <f t="shared" si="53"/>
        <v>70</v>
      </c>
      <c r="H79" s="38" t="str">
        <f>IF(B49=TRUE,G79+J79,"")</f>
        <v/>
      </c>
      <c r="I79" s="105">
        <v>70</v>
      </c>
      <c r="J79" s="98">
        <f t="shared" si="55"/>
        <v>0</v>
      </c>
      <c r="K79" s="98">
        <v>15</v>
      </c>
      <c r="L79" s="98"/>
      <c r="M79" s="98"/>
      <c r="N79" s="69"/>
      <c r="O79" s="69"/>
      <c r="P79" s="69"/>
      <c r="Q79" s="84"/>
      <c r="R79" s="84"/>
      <c r="S79" s="84"/>
      <c r="T79" s="84"/>
      <c r="U79" s="84"/>
      <c r="V79" s="84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</row>
    <row r="80" spans="1:38" x14ac:dyDescent="0.25">
      <c r="D80" s="13" t="s">
        <v>73</v>
      </c>
      <c r="E80" s="98"/>
      <c r="F80" s="75"/>
      <c r="G80" s="102"/>
      <c r="H80" s="38" t="str">
        <f t="shared" si="54"/>
        <v/>
      </c>
      <c r="I80" s="105"/>
      <c r="J80" s="98"/>
      <c r="K80" s="98"/>
      <c r="L80" s="98"/>
      <c r="M80" s="98"/>
      <c r="N80" s="69"/>
      <c r="O80" s="69"/>
      <c r="P80" s="6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</row>
    <row r="81" spans="4:38" x14ac:dyDescent="0.25">
      <c r="D81" s="13"/>
      <c r="E81" s="98">
        <v>68</v>
      </c>
      <c r="F81" s="75">
        <v>70</v>
      </c>
      <c r="G81" s="102">
        <f t="shared" si="53"/>
        <v>50</v>
      </c>
      <c r="H81" s="38" t="str">
        <f>IF(B51=TRUE,G81+J81,"")</f>
        <v/>
      </c>
      <c r="I81" s="105">
        <v>50</v>
      </c>
      <c r="J81" s="98">
        <f t="shared" si="55"/>
        <v>0</v>
      </c>
      <c r="K81" s="98">
        <v>15</v>
      </c>
      <c r="L81" s="98"/>
      <c r="M81" s="98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</row>
    <row r="82" spans="4:38" x14ac:dyDescent="0.25">
      <c r="D82" s="13" t="s">
        <v>74</v>
      </c>
      <c r="E82" s="98"/>
      <c r="F82" s="75"/>
      <c r="G82" s="102"/>
      <c r="H82" s="38" t="str">
        <f t="shared" si="54"/>
        <v/>
      </c>
      <c r="I82" s="105"/>
      <c r="J82" s="98"/>
      <c r="K82" s="98"/>
      <c r="L82" s="98"/>
      <c r="M82" s="98"/>
    </row>
    <row r="83" spans="4:38" x14ac:dyDescent="0.25">
      <c r="D83" s="13"/>
      <c r="E83" s="98">
        <v>86</v>
      </c>
      <c r="F83" s="75">
        <v>85</v>
      </c>
      <c r="G83" s="102">
        <f t="shared" si="53"/>
        <v>60</v>
      </c>
      <c r="H83" s="38" t="str">
        <f>IF(B53=TRUE,G83+J83,"")</f>
        <v/>
      </c>
      <c r="I83" s="105">
        <v>60</v>
      </c>
      <c r="J83" s="98">
        <f t="shared" si="55"/>
        <v>0</v>
      </c>
      <c r="K83" s="98">
        <v>15</v>
      </c>
      <c r="L83" s="98"/>
      <c r="M83" s="98"/>
      <c r="N83" s="56"/>
      <c r="O83" s="56"/>
      <c r="P83" s="56"/>
    </row>
    <row r="84" spans="4:38" x14ac:dyDescent="0.25">
      <c r="D84" s="99" t="s">
        <v>68</v>
      </c>
      <c r="E84" s="47"/>
      <c r="F84" s="77"/>
      <c r="G84" s="102">
        <f t="shared" si="53"/>
        <v>0</v>
      </c>
      <c r="H84" s="38" t="str">
        <f t="shared" si="54"/>
        <v/>
      </c>
      <c r="I84" s="105"/>
      <c r="J84" s="98"/>
      <c r="K84" s="98"/>
      <c r="L84" s="98"/>
      <c r="M84" s="98"/>
      <c r="N84" s="55"/>
      <c r="O84" s="55"/>
      <c r="P84" s="55"/>
    </row>
    <row r="85" spans="4:38" ht="15.75" thickBot="1" x14ac:dyDescent="0.3">
      <c r="D85" s="14"/>
      <c r="E85" s="66"/>
      <c r="F85" s="14">
        <v>110</v>
      </c>
      <c r="G85" s="103">
        <f t="shared" si="53"/>
        <v>110</v>
      </c>
      <c r="H85" s="38" t="str">
        <f>IF(B55=TRUE,G85+J85,"")</f>
        <v/>
      </c>
      <c r="I85" s="106">
        <f>F85</f>
        <v>110</v>
      </c>
      <c r="J85" s="98">
        <f t="shared" si="55"/>
        <v>0</v>
      </c>
      <c r="K85" s="98">
        <v>15</v>
      </c>
      <c r="L85" s="98"/>
      <c r="M85" s="98"/>
      <c r="N85" s="56"/>
      <c r="O85" s="56"/>
      <c r="P85" s="56"/>
    </row>
    <row r="86" spans="4:38" x14ac:dyDescent="0.25">
      <c r="G86" s="3"/>
      <c r="H86" s="4"/>
      <c r="N86" s="56"/>
      <c r="O86" s="56"/>
      <c r="P86" s="56"/>
    </row>
    <row r="87" spans="4:38" x14ac:dyDescent="0.25">
      <c r="G87" s="3"/>
      <c r="H87" s="4"/>
      <c r="N87" s="56"/>
      <c r="O87" s="56"/>
      <c r="P87" s="56"/>
    </row>
    <row r="88" spans="4:38" ht="15.75" thickBot="1" x14ac:dyDescent="0.3">
      <c r="G88" s="5">
        <f>H88+G73</f>
        <v>0</v>
      </c>
      <c r="H88" s="6">
        <f>SUM(H74:H87)</f>
        <v>0</v>
      </c>
      <c r="I88" t="s">
        <v>293</v>
      </c>
      <c r="J88" t="b">
        <f>Tabelle3!C13</f>
        <v>0</v>
      </c>
      <c r="N88" s="56"/>
      <c r="O88" s="56"/>
      <c r="P88" s="56"/>
    </row>
    <row r="89" spans="4:38" x14ac:dyDescent="0.25">
      <c r="I89" t="s">
        <v>294</v>
      </c>
      <c r="J89" t="b">
        <f>Tabelle3!C14</f>
        <v>0</v>
      </c>
    </row>
    <row r="90" spans="4:38" x14ac:dyDescent="0.25">
      <c r="J90" t="b">
        <f>IF(Q91=TRUE,IF(OR(J88=TRUE,J89=TRUE),TRUE,FALSE),FALSE)</f>
        <v>0</v>
      </c>
      <c r="N90" s="100" t="s">
        <v>85</v>
      </c>
      <c r="O90" s="68"/>
      <c r="P90" s="68"/>
      <c r="Q90" s="28" t="b">
        <v>0</v>
      </c>
      <c r="R90" s="28"/>
      <c r="S90" s="28"/>
      <c r="T90" s="28"/>
      <c r="U90" s="9"/>
      <c r="V90" s="9"/>
    </row>
    <row r="91" spans="4:38" x14ac:dyDescent="0.25">
      <c r="N91" s="100" t="s">
        <v>84</v>
      </c>
      <c r="O91" s="68"/>
      <c r="P91" s="68"/>
      <c r="Q91" s="28" t="b">
        <v>0</v>
      </c>
      <c r="R91" s="28"/>
      <c r="S91" s="28"/>
      <c r="T91" s="28"/>
      <c r="U91" s="9"/>
      <c r="V91" s="9"/>
    </row>
    <row r="92" spans="4:38" x14ac:dyDescent="0.25">
      <c r="N92" s="28"/>
      <c r="O92" s="28"/>
      <c r="P92" s="28"/>
      <c r="Q92" s="28"/>
      <c r="R92" s="28"/>
      <c r="S92" s="28"/>
      <c r="T92" s="28"/>
      <c r="U92" s="9"/>
      <c r="V92" s="9"/>
    </row>
    <row r="93" spans="4:38" x14ac:dyDescent="0.25">
      <c r="N93" s="28"/>
      <c r="O93" s="28"/>
      <c r="P93" s="28"/>
      <c r="Q93" s="28"/>
      <c r="R93" s="28"/>
      <c r="S93" s="28"/>
      <c r="T93" s="28"/>
      <c r="U93" s="9"/>
      <c r="V93" s="9"/>
    </row>
    <row r="94" spans="4:38" x14ac:dyDescent="0.25">
      <c r="N94" s="68" t="s">
        <v>86</v>
      </c>
      <c r="O94" s="68"/>
      <c r="P94" s="68"/>
      <c r="Q94" s="28" t="b">
        <f>A28</f>
        <v>0</v>
      </c>
      <c r="R94" s="28"/>
      <c r="S94" s="28"/>
      <c r="T94" s="28"/>
      <c r="U94" s="9"/>
      <c r="V94" s="9"/>
    </row>
    <row r="95" spans="4:38" x14ac:dyDescent="0.25">
      <c r="N95" s="68" t="s">
        <v>87</v>
      </c>
      <c r="O95" s="68"/>
      <c r="P95" s="68"/>
      <c r="Q95" s="28" t="b">
        <f>A29</f>
        <v>0</v>
      </c>
      <c r="R95" s="28"/>
      <c r="S95" s="28"/>
      <c r="T95" s="28"/>
      <c r="U95" s="9"/>
      <c r="V95" s="9"/>
    </row>
    <row r="96" spans="4:38" x14ac:dyDescent="0.25">
      <c r="N96" s="28"/>
      <c r="O96" s="28"/>
      <c r="P96" s="28"/>
      <c r="Q96" s="28"/>
      <c r="R96" s="28"/>
      <c r="S96" s="28"/>
      <c r="T96" s="28"/>
      <c r="U96" s="9"/>
      <c r="V96" s="9"/>
    </row>
    <row r="97" spans="1:40" x14ac:dyDescent="0.25">
      <c r="N97" s="68" t="s">
        <v>90</v>
      </c>
      <c r="O97" s="68"/>
      <c r="P97" s="68"/>
      <c r="Q97" s="28"/>
      <c r="R97" s="28"/>
      <c r="S97" s="28"/>
      <c r="T97" s="28"/>
      <c r="U97" s="9"/>
      <c r="V97" s="9"/>
    </row>
    <row r="98" spans="1:40" x14ac:dyDescent="0.25">
      <c r="N98" s="68" t="s">
        <v>91</v>
      </c>
      <c r="O98" s="68"/>
      <c r="P98" s="68"/>
      <c r="Q98" s="27">
        <f>SUM(C42:C55)</f>
        <v>0</v>
      </c>
      <c r="R98" s="27"/>
      <c r="S98" s="27"/>
      <c r="T98" s="28" t="b">
        <f>IF(Q98=0,FALSE,IF(Q98=1,TRUE,""))</f>
        <v>0</v>
      </c>
      <c r="U98" s="9"/>
      <c r="V98" s="9"/>
    </row>
    <row r="99" spans="1:40" x14ac:dyDescent="0.25">
      <c r="N99" s="68"/>
      <c r="O99" s="68"/>
      <c r="P99" s="68"/>
      <c r="Q99" s="28"/>
      <c r="R99" s="28"/>
      <c r="S99" s="28"/>
      <c r="T99" s="28"/>
      <c r="U99" s="9"/>
      <c r="V99" s="9"/>
    </row>
    <row r="100" spans="1:40" x14ac:dyDescent="0.25">
      <c r="N100" s="68" t="s">
        <v>92</v>
      </c>
      <c r="O100" s="68"/>
      <c r="P100" s="68"/>
      <c r="Q100" s="27">
        <f>C45+C48+C49</f>
        <v>0</v>
      </c>
      <c r="R100" s="27"/>
      <c r="S100" s="27"/>
      <c r="T100" s="28" t="b">
        <f>IF(Q100=0,FALSE,IF(Q100=1,TRUE,""))</f>
        <v>0</v>
      </c>
      <c r="U100" s="9"/>
      <c r="V100" s="9"/>
    </row>
    <row r="101" spans="1:40" x14ac:dyDescent="0.25">
      <c r="N101" s="28"/>
      <c r="O101" s="28"/>
      <c r="P101" s="28"/>
      <c r="Q101" s="28"/>
      <c r="R101" s="28"/>
      <c r="S101" s="28"/>
      <c r="T101" s="28"/>
      <c r="U101" s="9"/>
      <c r="V101" s="9"/>
    </row>
    <row r="102" spans="1:40" x14ac:dyDescent="0.25">
      <c r="A102" t="str">
        <f>Tabelle2!N67&amp;" "</f>
        <v xml:space="preserve">DN 600 </v>
      </c>
      <c r="N102" s="68" t="s">
        <v>93</v>
      </c>
      <c r="O102" s="68"/>
      <c r="P102" s="68"/>
      <c r="Q102" s="27">
        <f>C32+C33+C34+C35+C37+C38+C40+C42</f>
        <v>0</v>
      </c>
      <c r="R102" s="27"/>
      <c r="S102" s="27"/>
      <c r="T102" s="28" t="b">
        <f>IF(Q102=0,FALSE,IF(Q102=1,TRUE,""))</f>
        <v>0</v>
      </c>
      <c r="U102" s="9"/>
      <c r="V102" s="9"/>
      <c r="Z102" s="60"/>
      <c r="AA102" s="61"/>
      <c r="AB102" s="61"/>
      <c r="AC102" s="61"/>
      <c r="AD102" s="61"/>
      <c r="AE102" s="61"/>
      <c r="AF102" s="61" t="s">
        <v>903</v>
      </c>
      <c r="AG102" s="61"/>
      <c r="AH102" s="61"/>
      <c r="AI102" s="61" t="s">
        <v>902</v>
      </c>
      <c r="AJ102" s="61"/>
      <c r="AK102" s="61"/>
      <c r="AL102" s="61" t="s">
        <v>903</v>
      </c>
      <c r="AM102" s="38" t="s">
        <v>902</v>
      </c>
    </row>
    <row r="103" spans="1:40" x14ac:dyDescent="0.25">
      <c r="Z103" s="62" t="s">
        <v>368</v>
      </c>
      <c r="AA103" s="9"/>
      <c r="AB103" s="9"/>
      <c r="AC103" s="9" t="b">
        <f>Sprachen!C3</f>
        <v>0</v>
      </c>
      <c r="AD103" s="9"/>
      <c r="AE103" s="9"/>
      <c r="AF103" s="9" t="s">
        <v>1168</v>
      </c>
      <c r="AG103" s="9"/>
      <c r="AH103" s="9"/>
      <c r="AI103" s="9" t="s">
        <v>1171</v>
      </c>
      <c r="AJ103" s="9"/>
      <c r="AK103" s="9"/>
      <c r="AL103" s="9" t="s">
        <v>1174</v>
      </c>
      <c r="AM103" s="9" t="s">
        <v>1177</v>
      </c>
      <c r="AN103" s="146" t="s">
        <v>904</v>
      </c>
    </row>
    <row r="104" spans="1:40" x14ac:dyDescent="0.25">
      <c r="Z104" s="62" t="s">
        <v>369</v>
      </c>
      <c r="AA104" s="9"/>
      <c r="AB104" s="9"/>
      <c r="AC104" s="9" t="b">
        <f>Sprachen!C4</f>
        <v>0</v>
      </c>
      <c r="AD104" s="9"/>
      <c r="AE104" s="9"/>
      <c r="AF104" s="9" t="s">
        <v>1169</v>
      </c>
      <c r="AG104" s="9"/>
      <c r="AH104" s="9"/>
      <c r="AI104" s="9" t="s">
        <v>1172</v>
      </c>
      <c r="AJ104" s="9"/>
      <c r="AK104" s="9"/>
      <c r="AL104" s="9" t="s">
        <v>1175</v>
      </c>
      <c r="AM104" s="9" t="s">
        <v>1178</v>
      </c>
      <c r="AN104" s="147" t="s">
        <v>906</v>
      </c>
    </row>
    <row r="105" spans="1:40" x14ac:dyDescent="0.25">
      <c r="Z105" s="65" t="s">
        <v>576</v>
      </c>
      <c r="AA105" s="66"/>
      <c r="AB105" s="66"/>
      <c r="AC105" s="66" t="b">
        <f>Sprachen!C5</f>
        <v>1</v>
      </c>
      <c r="AD105" s="66"/>
      <c r="AE105" s="66"/>
      <c r="AF105" s="66" t="s">
        <v>1170</v>
      </c>
      <c r="AG105" s="66"/>
      <c r="AH105" s="66"/>
      <c r="AI105" s="66" t="s">
        <v>1173</v>
      </c>
      <c r="AJ105" s="66"/>
      <c r="AK105" s="66"/>
      <c r="AL105" s="66" t="s">
        <v>1176</v>
      </c>
      <c r="AM105" s="66" t="s">
        <v>1179</v>
      </c>
      <c r="AN105" s="147" t="s">
        <v>905</v>
      </c>
    </row>
    <row r="106" spans="1:40" x14ac:dyDescent="0.25">
      <c r="AN106" s="140" t="str">
        <f>IF(AC104=TRUE,AN104,IF(AC105=TRUE,AN105,AN103))</f>
        <v>non funziona</v>
      </c>
    </row>
    <row r="107" spans="1:40" x14ac:dyDescent="0.25">
      <c r="Z107" s="60" t="str">
        <f>IF($AC$105=TRUE,AF105,IF($AC$104=TRUE,AF104,AF103))</f>
        <v xml:space="preserve">BF 11 singolo </v>
      </c>
      <c r="AA107" s="61"/>
      <c r="AB107" s="61"/>
      <c r="AC107" s="61" t="str">
        <f>IF(Q90=TRUE,1,"")</f>
        <v/>
      </c>
      <c r="AD107" s="61"/>
      <c r="AE107" s="61"/>
      <c r="AF107" s="61" t="str">
        <f>IF(Q94=TRUE,1,"")</f>
        <v/>
      </c>
      <c r="AG107" s="61"/>
      <c r="AH107" s="61"/>
      <c r="AI107" s="61">
        <f>SUM(AC107:AF107)</f>
        <v>0</v>
      </c>
      <c r="AJ107" s="61"/>
      <c r="AK107" s="61"/>
      <c r="AL107" s="38" t="str">
        <f>IF(AI107=2,Z107,"")</f>
        <v/>
      </c>
    </row>
    <row r="108" spans="1:40" x14ac:dyDescent="0.25">
      <c r="Z108" s="62" t="str">
        <f>IF($AC$105=TRUE,AI105,IF($AC$104=TRUE,AI104,AI103))</f>
        <v xml:space="preserve">BF 11 doppione </v>
      </c>
      <c r="AA108" s="9"/>
      <c r="AB108" s="9"/>
      <c r="AC108" s="9" t="str">
        <f>IF(Q91=TRUE,1,"")</f>
        <v/>
      </c>
      <c r="AD108" s="9"/>
      <c r="AE108" s="9"/>
      <c r="AF108" s="9" t="str">
        <f>IF(Q94=TRUE,1,"")</f>
        <v/>
      </c>
      <c r="AG108" s="9"/>
      <c r="AH108" s="9"/>
      <c r="AI108" s="9">
        <f>SUM(AC108:AF108)</f>
        <v>0</v>
      </c>
      <c r="AJ108" s="9"/>
      <c r="AK108" s="9"/>
      <c r="AL108" s="63" t="str">
        <f>IF(AI108=2,Z108,"")</f>
        <v/>
      </c>
    </row>
    <row r="109" spans="1:40" x14ac:dyDescent="0.25">
      <c r="Z109" s="62" t="str">
        <f>IF($AC$105=TRUE,AL105,IF($AC$104=TRUE,AL104,AL103))</f>
        <v xml:space="preserve">BF 12 singolo </v>
      </c>
      <c r="AA109" s="9"/>
      <c r="AB109" s="9"/>
      <c r="AC109" s="9" t="str">
        <f>IF(Q90=TRUE,1,"")</f>
        <v/>
      </c>
      <c r="AD109" s="9"/>
      <c r="AE109" s="9"/>
      <c r="AF109" s="9" t="str">
        <f>IF(Q95=TRUE,1,"")</f>
        <v/>
      </c>
      <c r="AG109" s="9"/>
      <c r="AH109" s="9"/>
      <c r="AI109" s="9">
        <f>SUM(AC109:AF109)</f>
        <v>0</v>
      </c>
      <c r="AJ109" s="9"/>
      <c r="AK109" s="9"/>
      <c r="AL109" s="63" t="str">
        <f>IF(AI109=2,Z109,"")</f>
        <v/>
      </c>
    </row>
    <row r="110" spans="1:40" x14ac:dyDescent="0.25">
      <c r="Z110" s="62" t="str">
        <f>IF($AC$105=TRUE,AM105,IF($AC$104=TRUE,AM104,AM103))</f>
        <v xml:space="preserve">BF 12 doppione </v>
      </c>
      <c r="AA110" s="9"/>
      <c r="AB110" s="9"/>
      <c r="AC110" s="9" t="str">
        <f>IF(Q91=TRUE,1,"")</f>
        <v/>
      </c>
      <c r="AD110" s="9"/>
      <c r="AE110" s="9"/>
      <c r="AF110" s="9" t="str">
        <f>IF(Q95=TRUE,1,"")</f>
        <v/>
      </c>
      <c r="AG110" s="9"/>
      <c r="AH110" s="9"/>
      <c r="AI110" s="9">
        <f>SUM(AC110:AF110)</f>
        <v>0</v>
      </c>
      <c r="AJ110" s="9"/>
      <c r="AK110" s="9"/>
      <c r="AL110" s="63" t="str">
        <f>IF(AI110=2,Z110,"")</f>
        <v/>
      </c>
    </row>
    <row r="111" spans="1:40" x14ac:dyDescent="0.25">
      <c r="Z111" s="65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28" t="str">
        <f>AL107&amp;AL108&amp;AL109&amp;AL110</f>
        <v/>
      </c>
    </row>
    <row r="112" spans="1:40" x14ac:dyDescent="0.25">
      <c r="N112" s="60"/>
      <c r="O112" s="61"/>
      <c r="P112" s="61"/>
      <c r="Q112" s="61" t="str">
        <f>$AL$111</f>
        <v/>
      </c>
      <c r="R112" s="61"/>
      <c r="S112" s="61"/>
      <c r="T112" s="61" t="str">
        <f>$AL$111</f>
        <v/>
      </c>
      <c r="U112" s="61"/>
      <c r="V112" s="61"/>
      <c r="W112" s="61" t="str">
        <f>$AL$111</f>
        <v/>
      </c>
      <c r="X112" s="61"/>
      <c r="Y112" s="61"/>
      <c r="Z112" s="61" t="str">
        <f>$AL$111</f>
        <v/>
      </c>
      <c r="AA112" s="61"/>
      <c r="AB112" s="61"/>
      <c r="AC112" s="61" t="str">
        <f>$AL$111</f>
        <v/>
      </c>
      <c r="AD112" s="61"/>
      <c r="AE112" s="61"/>
      <c r="AF112" s="61" t="str">
        <f>$AL$111</f>
        <v/>
      </c>
      <c r="AG112" s="61"/>
      <c r="AH112" s="61"/>
      <c r="AI112" s="61" t="str">
        <f>$AL$111</f>
        <v/>
      </c>
      <c r="AJ112" s="61"/>
      <c r="AK112" s="61"/>
      <c r="AL112" s="38" t="str">
        <f>$AL$111</f>
        <v/>
      </c>
    </row>
    <row r="113" spans="14:38" x14ac:dyDescent="0.25">
      <c r="N113" s="81" t="s">
        <v>104</v>
      </c>
      <c r="O113" s="56"/>
      <c r="P113" s="56"/>
      <c r="Q113" s="9"/>
      <c r="R113" s="9"/>
      <c r="S113" s="9"/>
      <c r="T113" s="9"/>
      <c r="U113" s="9"/>
      <c r="V113" s="9"/>
      <c r="W113" s="9" t="str">
        <f>Z107</f>
        <v xml:space="preserve">BF 11 singolo </v>
      </c>
      <c r="X113" s="9"/>
      <c r="Y113" s="9"/>
      <c r="Z113" s="9" t="str">
        <f>$Z107</f>
        <v xml:space="preserve">BF 11 singolo </v>
      </c>
      <c r="AA113" s="9"/>
      <c r="AB113" s="9"/>
      <c r="AC113" s="9" t="str">
        <f>$Z107</f>
        <v xml:space="preserve">BF 11 singolo </v>
      </c>
      <c r="AD113" s="9"/>
      <c r="AE113" s="9"/>
      <c r="AF113" s="9" t="str">
        <f>$Z107</f>
        <v xml:space="preserve">BF 11 singolo </v>
      </c>
      <c r="AG113" s="9"/>
      <c r="AH113" s="9"/>
      <c r="AI113" s="9" t="str">
        <f>$Z107</f>
        <v xml:space="preserve">BF 11 singolo </v>
      </c>
      <c r="AJ113" s="9"/>
      <c r="AK113" s="9"/>
      <c r="AL113" s="9" t="str">
        <f>$Z107</f>
        <v xml:space="preserve">BF 11 singolo </v>
      </c>
    </row>
    <row r="114" spans="14:38" x14ac:dyDescent="0.25">
      <c r="N114" s="81" t="s">
        <v>105</v>
      </c>
      <c r="O114" s="56"/>
      <c r="P114" s="56"/>
      <c r="Q114" s="9" t="str">
        <f>Z109</f>
        <v xml:space="preserve">BF 12 singolo </v>
      </c>
      <c r="R114" s="9"/>
      <c r="S114" s="9"/>
      <c r="T114" s="9" t="str">
        <f>Z109</f>
        <v xml:space="preserve">BF 12 singolo </v>
      </c>
      <c r="U114" s="9"/>
      <c r="V114" s="9"/>
      <c r="W114" s="9" t="str">
        <f>Z109</f>
        <v xml:space="preserve">BF 12 singolo </v>
      </c>
      <c r="X114" s="9"/>
      <c r="Y114" s="9"/>
      <c r="Z114" s="9" t="str">
        <f>$Z$109</f>
        <v xml:space="preserve">BF 12 singolo </v>
      </c>
      <c r="AA114" s="9"/>
      <c r="AB114" s="9"/>
      <c r="AC114" s="9" t="str">
        <f>$Z$109</f>
        <v xml:space="preserve">BF 12 singolo </v>
      </c>
      <c r="AD114" s="9"/>
      <c r="AE114" s="9"/>
      <c r="AF114" s="9" t="str">
        <f>$Z$109</f>
        <v xml:space="preserve">BF 12 singolo </v>
      </c>
      <c r="AG114" s="9"/>
      <c r="AH114" s="9"/>
      <c r="AI114" s="9" t="str">
        <f>$Z$109</f>
        <v xml:space="preserve">BF 12 singolo </v>
      </c>
      <c r="AJ114" s="9"/>
      <c r="AK114" s="9"/>
      <c r="AL114" s="63"/>
    </row>
    <row r="115" spans="14:38" x14ac:dyDescent="0.25">
      <c r="N115" s="81" t="s">
        <v>106</v>
      </c>
      <c r="O115" s="56"/>
      <c r="P115" s="56"/>
      <c r="Q115" s="9"/>
      <c r="R115" s="9"/>
      <c r="S115" s="9"/>
      <c r="T115" s="9"/>
      <c r="U115" s="9"/>
      <c r="V115" s="9"/>
      <c r="W115" s="9" t="str">
        <f>IF(B37=TRUE,Z108,"")</f>
        <v/>
      </c>
      <c r="X115" s="9"/>
      <c r="Y115" s="9"/>
      <c r="Z115" s="9"/>
      <c r="AA115" s="9"/>
      <c r="AB115" s="9"/>
      <c r="AC115" s="9" t="str">
        <f>$Z$108</f>
        <v xml:space="preserve">BF 11 doppione </v>
      </c>
      <c r="AD115" s="9"/>
      <c r="AE115" s="9"/>
      <c r="AF115" s="9" t="str">
        <f>$Z$108</f>
        <v xml:space="preserve">BF 11 doppione </v>
      </c>
      <c r="AG115" s="9"/>
      <c r="AH115" s="9"/>
      <c r="AI115" s="9" t="str">
        <f>$Z$108</f>
        <v xml:space="preserve">BF 11 doppione </v>
      </c>
      <c r="AJ115" s="9"/>
      <c r="AK115" s="9"/>
      <c r="AL115" s="9" t="str">
        <f>$Z$108</f>
        <v xml:space="preserve">BF 11 doppione </v>
      </c>
    </row>
    <row r="116" spans="14:38" x14ac:dyDescent="0.25">
      <c r="N116" s="81" t="s">
        <v>103</v>
      </c>
      <c r="O116" s="56"/>
      <c r="P116" s="56"/>
      <c r="Q116" s="9"/>
      <c r="R116" s="9"/>
      <c r="S116" s="9"/>
      <c r="T116" s="9"/>
      <c r="U116" s="9"/>
      <c r="V116" s="9"/>
      <c r="W116" s="9" t="str">
        <f>$Z$110</f>
        <v xml:space="preserve">BF 12 doppione </v>
      </c>
      <c r="X116" s="9"/>
      <c r="Y116" s="9"/>
      <c r="Z116" s="9" t="str">
        <f>$Z$110</f>
        <v xml:space="preserve">BF 12 doppione </v>
      </c>
      <c r="AA116" s="9"/>
      <c r="AB116" s="9"/>
      <c r="AC116" s="9" t="str">
        <f>$Z$110</f>
        <v xml:space="preserve">BF 12 doppione </v>
      </c>
      <c r="AD116" s="9"/>
      <c r="AE116" s="9"/>
      <c r="AF116" s="9" t="str">
        <f>$Z$110</f>
        <v xml:space="preserve">BF 12 doppione </v>
      </c>
      <c r="AG116" s="9"/>
      <c r="AH116" s="9"/>
      <c r="AI116" s="9" t="str">
        <f>$Z$110</f>
        <v xml:space="preserve">BF 12 doppione </v>
      </c>
      <c r="AJ116" s="9"/>
      <c r="AK116" s="9"/>
      <c r="AL116" s="9"/>
    </row>
    <row r="117" spans="14:38" x14ac:dyDescent="0.25">
      <c r="N117" s="62"/>
      <c r="O117" s="9"/>
      <c r="P117" s="9"/>
      <c r="Q117" s="9">
        <f>IF(Q113=Q$112,1,"")</f>
        <v>1</v>
      </c>
      <c r="R117" s="9"/>
      <c r="S117" s="9"/>
      <c r="T117" s="9">
        <f>IF(T113=T$112,1,"")</f>
        <v>1</v>
      </c>
      <c r="U117" s="9"/>
      <c r="V117" s="9"/>
      <c r="W117" s="9" t="str">
        <f>IF(W113=W$112,1,"")</f>
        <v/>
      </c>
      <c r="X117" s="9"/>
      <c r="Y117" s="9"/>
      <c r="Z117" s="9" t="str">
        <f>IF(Z113=Z$112,1,"")</f>
        <v/>
      </c>
      <c r="AA117" s="9"/>
      <c r="AB117" s="9"/>
      <c r="AC117" s="9" t="str">
        <f>IF(AC113=AC$112,1,"")</f>
        <v/>
      </c>
      <c r="AD117" s="9"/>
      <c r="AE117" s="9"/>
      <c r="AF117" s="9" t="str">
        <f>IF(AF113=AF$112,1,"")</f>
        <v/>
      </c>
      <c r="AG117" s="9"/>
      <c r="AH117" s="9"/>
      <c r="AI117" s="9" t="str">
        <f>IF(AI113=AI$112,1,"")</f>
        <v/>
      </c>
      <c r="AJ117" s="9"/>
      <c r="AK117" s="9"/>
      <c r="AL117" s="63" t="str">
        <f>IF(AL113=AL$112,1,"")</f>
        <v/>
      </c>
    </row>
    <row r="118" spans="14:38" x14ac:dyDescent="0.25">
      <c r="N118" s="62"/>
      <c r="O118" s="9"/>
      <c r="P118" s="9"/>
      <c r="Q118" s="9" t="str">
        <f>IF(Q114=Q$112,1,"")</f>
        <v/>
      </c>
      <c r="R118" s="9"/>
      <c r="S118" s="9"/>
      <c r="T118" s="9" t="str">
        <f>IF(T114=T$112,1,"")</f>
        <v/>
      </c>
      <c r="U118" s="9"/>
      <c r="V118" s="9"/>
      <c r="W118" s="9" t="str">
        <f>IF(W114=W$112,1,"")</f>
        <v/>
      </c>
      <c r="X118" s="9"/>
      <c r="Y118" s="9"/>
      <c r="Z118" s="9" t="str">
        <f>IF(Z114=Z$112,1,"")</f>
        <v/>
      </c>
      <c r="AA118" s="9"/>
      <c r="AB118" s="9"/>
      <c r="AC118" s="9" t="str">
        <f>IF(AC114=AC$112,1,"")</f>
        <v/>
      </c>
      <c r="AD118" s="9"/>
      <c r="AE118" s="9"/>
      <c r="AF118" s="9" t="str">
        <f>IF(AF114=AF$112,1,"")</f>
        <v/>
      </c>
      <c r="AG118" s="9"/>
      <c r="AH118" s="9"/>
      <c r="AI118" s="9" t="str">
        <f>IF(AI114=AI$112,1,"")</f>
        <v/>
      </c>
      <c r="AJ118" s="9"/>
      <c r="AK118" s="9"/>
      <c r="AL118" s="63">
        <f>IF(AL114=AL$112,1,"")</f>
        <v>1</v>
      </c>
    </row>
    <row r="119" spans="14:38" x14ac:dyDescent="0.25">
      <c r="N119" s="62"/>
      <c r="O119" s="9"/>
      <c r="P119" s="9"/>
      <c r="Q119" s="9">
        <f>IF(Q115=Q$112,1,"")</f>
        <v>1</v>
      </c>
      <c r="R119" s="9"/>
      <c r="S119" s="9"/>
      <c r="T119" s="9">
        <f>IF(T115=T$112,1,"")</f>
        <v>1</v>
      </c>
      <c r="U119" s="9"/>
      <c r="V119" s="9"/>
      <c r="W119" s="9">
        <f>IF(W115=W$112,1,"")</f>
        <v>1</v>
      </c>
      <c r="X119" s="9"/>
      <c r="Y119" s="9"/>
      <c r="Z119" s="9">
        <f>IF(Z115=Z$112,1,"")</f>
        <v>1</v>
      </c>
      <c r="AA119" s="9"/>
      <c r="AB119" s="9"/>
      <c r="AC119" s="9" t="str">
        <f>IF(AC115=AC$112,1,"")</f>
        <v/>
      </c>
      <c r="AD119" s="9"/>
      <c r="AE119" s="9"/>
      <c r="AF119" s="9" t="str">
        <f>IF(AF115=AF$112,1,"")</f>
        <v/>
      </c>
      <c r="AG119" s="9"/>
      <c r="AH119" s="9"/>
      <c r="AI119" s="9" t="str">
        <f>IF(AI115=AI$112,1,"")</f>
        <v/>
      </c>
      <c r="AJ119" s="9"/>
      <c r="AK119" s="9"/>
      <c r="AL119" s="63" t="str">
        <f>IF(AL115=AL$112,1,"")</f>
        <v/>
      </c>
    </row>
    <row r="120" spans="14:38" x14ac:dyDescent="0.25">
      <c r="N120" s="65"/>
      <c r="O120" s="66"/>
      <c r="P120" s="66"/>
      <c r="Q120" s="66">
        <f>IF(Q116=Q$112,1,"")</f>
        <v>1</v>
      </c>
      <c r="R120" s="66"/>
      <c r="S120" s="66"/>
      <c r="T120" s="66">
        <f>IF(T116=T$112,1,"")</f>
        <v>1</v>
      </c>
      <c r="U120" s="66"/>
      <c r="V120" s="66"/>
      <c r="W120" s="66" t="str">
        <f>IF(W116=W$112,1,"")</f>
        <v/>
      </c>
      <c r="X120" s="66"/>
      <c r="Y120" s="66"/>
      <c r="Z120" s="66" t="str">
        <f>IF(Z116=Z$112,1,"")</f>
        <v/>
      </c>
      <c r="AA120" s="66"/>
      <c r="AB120" s="66"/>
      <c r="AC120" s="66" t="str">
        <f>IF(AC116=AC$112,1,"")</f>
        <v/>
      </c>
      <c r="AD120" s="66"/>
      <c r="AE120" s="66"/>
      <c r="AF120" s="66" t="str">
        <f>IF(AF116=AF$112,1,"")</f>
        <v/>
      </c>
      <c r="AG120" s="66"/>
      <c r="AH120" s="66"/>
      <c r="AI120" s="66" t="str">
        <f>IF(AI116=AI$112,1,"")</f>
        <v/>
      </c>
      <c r="AJ120" s="66"/>
      <c r="AK120" s="66"/>
      <c r="AL120" s="67">
        <f>IF(AL116=AL$112,1,"")</f>
        <v>1</v>
      </c>
    </row>
    <row r="121" spans="14:38" x14ac:dyDescent="0.25">
      <c r="N121" s="65"/>
      <c r="O121" s="66"/>
      <c r="P121" s="66"/>
      <c r="Q121" s="66">
        <f>SUM(Q117:Q120)</f>
        <v>3</v>
      </c>
      <c r="R121" s="66"/>
      <c r="S121" s="66"/>
      <c r="T121" s="66">
        <f>SUM(T117:T120)</f>
        <v>3</v>
      </c>
      <c r="U121" s="66"/>
      <c r="V121" s="66"/>
      <c r="W121" s="66">
        <f>SUM(W117:W120)</f>
        <v>1</v>
      </c>
      <c r="X121" s="66"/>
      <c r="Y121" s="66"/>
      <c r="Z121" s="66">
        <f>SUM(Z117:Z120)</f>
        <v>1</v>
      </c>
      <c r="AA121" s="66"/>
      <c r="AB121" s="66"/>
      <c r="AC121" s="66">
        <f>SUM(AC117:AC120)</f>
        <v>0</v>
      </c>
      <c r="AD121" s="66"/>
      <c r="AE121" s="66"/>
      <c r="AF121" s="66">
        <f>SUM(AF117:AF120)</f>
        <v>0</v>
      </c>
      <c r="AG121" s="66"/>
      <c r="AH121" s="66"/>
      <c r="AI121" s="66">
        <f>SUM(AI117:AI120)</f>
        <v>0</v>
      </c>
      <c r="AJ121" s="66"/>
      <c r="AK121" s="66"/>
      <c r="AL121" s="67">
        <f>SUM(AL117:AL120)</f>
        <v>2</v>
      </c>
    </row>
    <row r="122" spans="14:38" x14ac:dyDescent="0.25">
      <c r="N122">
        <f>Tabelle3!$BD$65</f>
        <v>0</v>
      </c>
      <c r="Z122" s="17">
        <f>IF(W121=1,1,W112&amp;AO106)</f>
        <v>1</v>
      </c>
    </row>
    <row r="123" spans="14:38" x14ac:dyDescent="0.25">
      <c r="N123" s="78" t="s">
        <v>81</v>
      </c>
      <c r="O123" s="87"/>
      <c r="P123" s="87"/>
      <c r="Q123" s="61">
        <v>111</v>
      </c>
      <c r="R123" s="61"/>
      <c r="S123" s="61"/>
      <c r="T123" s="61">
        <f>N122+254</f>
        <v>254</v>
      </c>
      <c r="U123" s="61"/>
      <c r="V123" s="61"/>
      <c r="W123" s="61">
        <f>N122+560.1</f>
        <v>560.1</v>
      </c>
      <c r="X123" s="61"/>
      <c r="Y123" s="61"/>
      <c r="Z123" s="61">
        <v>600</v>
      </c>
      <c r="AA123" s="61"/>
      <c r="AB123" s="61"/>
      <c r="AC123" s="61">
        <v>600</v>
      </c>
      <c r="AD123" s="61"/>
      <c r="AE123" s="61"/>
      <c r="AF123" s="61">
        <v>600</v>
      </c>
      <c r="AG123" s="61"/>
      <c r="AH123" s="61"/>
      <c r="AI123" s="61">
        <v>600</v>
      </c>
      <c r="AJ123" s="61"/>
      <c r="AK123" s="61"/>
      <c r="AL123" s="38">
        <v>600</v>
      </c>
    </row>
    <row r="124" spans="14:38" x14ac:dyDescent="0.25">
      <c r="N124" s="79" t="s">
        <v>88</v>
      </c>
      <c r="O124" s="82"/>
      <c r="P124" s="82"/>
      <c r="Q124" s="9">
        <v>10</v>
      </c>
      <c r="R124" s="9"/>
      <c r="S124" s="9"/>
      <c r="T124" s="9">
        <v>169</v>
      </c>
      <c r="U124" s="9"/>
      <c r="V124" s="9"/>
      <c r="W124" s="9">
        <v>169</v>
      </c>
      <c r="X124" s="9"/>
      <c r="Y124" s="9"/>
      <c r="Z124" s="9">
        <v>175</v>
      </c>
      <c r="AA124" s="9"/>
      <c r="AB124" s="9"/>
      <c r="AC124" s="9">
        <v>175</v>
      </c>
      <c r="AD124" s="9"/>
      <c r="AE124" s="9"/>
      <c r="AF124" s="9">
        <v>175</v>
      </c>
      <c r="AG124" s="9"/>
      <c r="AH124" s="9"/>
      <c r="AI124" s="9">
        <v>175</v>
      </c>
      <c r="AJ124" s="9"/>
      <c r="AK124" s="9"/>
      <c r="AL124" s="63">
        <v>164</v>
      </c>
    </row>
    <row r="125" spans="14:38" x14ac:dyDescent="0.25">
      <c r="N125" s="80" t="s">
        <v>89</v>
      </c>
      <c r="O125" s="88"/>
      <c r="P125" s="88"/>
      <c r="Q125" s="66">
        <v>0</v>
      </c>
      <c r="R125" s="66"/>
      <c r="S125" s="66"/>
      <c r="T125" s="66">
        <f>IF(C43&gt;0.1,137,160)</f>
        <v>160</v>
      </c>
      <c r="U125" s="66"/>
      <c r="V125" s="66"/>
      <c r="W125" s="66">
        <v>169</v>
      </c>
      <c r="X125" s="66"/>
      <c r="Y125" s="66"/>
      <c r="Z125" s="66">
        <v>150</v>
      </c>
      <c r="AA125" s="66"/>
      <c r="AB125" s="66"/>
      <c r="AC125" s="66">
        <v>150</v>
      </c>
      <c r="AD125" s="66"/>
      <c r="AE125" s="66"/>
      <c r="AF125" s="66">
        <v>150</v>
      </c>
      <c r="AG125" s="66"/>
      <c r="AH125" s="66"/>
      <c r="AI125" s="66">
        <v>150</v>
      </c>
      <c r="AJ125" s="66"/>
      <c r="AK125" s="66"/>
      <c r="AL125" s="67">
        <f>IF(C43&gt;0.1,150,160)</f>
        <v>160</v>
      </c>
    </row>
    <row r="126" spans="14:38" x14ac:dyDescent="0.25">
      <c r="N126" s="56" t="s">
        <v>130</v>
      </c>
    </row>
    <row r="127" spans="14:38" x14ac:dyDescent="0.25">
      <c r="N127" s="78" t="s">
        <v>81</v>
      </c>
      <c r="O127" s="61"/>
      <c r="P127" s="61"/>
      <c r="Q127" s="113" t="e">
        <f>(ROUND(Q123-Q35,0))*10</f>
        <v>#VALUE!</v>
      </c>
      <c r="R127" s="110"/>
      <c r="S127" s="110"/>
      <c r="T127" s="113" t="e">
        <f>(ROUND(T123-T35,0))*10</f>
        <v>#VALUE!</v>
      </c>
      <c r="U127" s="110"/>
      <c r="V127" s="110"/>
      <c r="W127" s="113" t="e">
        <f>(ROUND(W123-W35,0))*10</f>
        <v>#VALUE!</v>
      </c>
      <c r="X127" s="113"/>
      <c r="Y127" s="113"/>
      <c r="Z127" s="113" t="e">
        <f>(ROUND(Z123-Z35,0))*10</f>
        <v>#VALUE!</v>
      </c>
      <c r="AA127" s="113"/>
      <c r="AB127" s="113"/>
      <c r="AC127" s="113" t="e">
        <f>(ROUND(AC123-AC35,0))*10</f>
        <v>#VALUE!</v>
      </c>
      <c r="AD127" s="113"/>
      <c r="AE127" s="113"/>
      <c r="AF127" s="113" t="e">
        <f>(ROUND(AF123-AF35,0))*10</f>
        <v>#VALUE!</v>
      </c>
      <c r="AG127" s="113"/>
      <c r="AH127" s="113"/>
      <c r="AI127" s="113" t="e">
        <f>(ROUND(AI123-AI35,0))*10</f>
        <v>#VALUE!</v>
      </c>
      <c r="AJ127" s="113"/>
      <c r="AK127" s="113"/>
      <c r="AL127" s="113" t="e">
        <f>(ROUND(AL123-AL35,0))*10</f>
        <v>#VALUE!</v>
      </c>
    </row>
    <row r="128" spans="14:38" x14ac:dyDescent="0.25">
      <c r="N128" s="79" t="s">
        <v>88</v>
      </c>
      <c r="O128" s="9"/>
      <c r="P128" s="9"/>
      <c r="Q128" s="9" t="e">
        <f>(ROUND(Q35-Q124,0))*10</f>
        <v>#VALUE!</v>
      </c>
      <c r="R128" s="9"/>
      <c r="S128" s="9"/>
      <c r="T128" s="9" t="e">
        <f>(ROUND(T35-T124,0))*10</f>
        <v>#VALUE!</v>
      </c>
      <c r="U128" s="9"/>
      <c r="V128" s="9"/>
      <c r="W128" s="9" t="e">
        <f>(ROUND(W35-W124,1))*10</f>
        <v>#VALUE!</v>
      </c>
      <c r="X128" s="9"/>
      <c r="Y128" s="9"/>
      <c r="Z128" s="9" t="e">
        <f>(ROUND(Z35-Z124,0))*10</f>
        <v>#VALUE!</v>
      </c>
      <c r="AA128" s="9"/>
      <c r="AB128" s="9"/>
      <c r="AC128" s="9" t="e">
        <f>(ROUND(AC35-AC124,0))*10</f>
        <v>#VALUE!</v>
      </c>
      <c r="AD128" s="9"/>
      <c r="AE128" s="9"/>
      <c r="AF128" s="9" t="e">
        <f>(ROUND(AF35-AF124,0))*10</f>
        <v>#VALUE!</v>
      </c>
      <c r="AG128" s="9"/>
      <c r="AH128" s="9"/>
      <c r="AI128" s="9" t="e">
        <f>(ROUND(AI35-AI124,0))*10</f>
        <v>#VALUE!</v>
      </c>
      <c r="AJ128" s="9"/>
      <c r="AK128" s="9"/>
      <c r="AL128" s="63" t="e">
        <f>(ROUND(AL35-AL124,0))*10</f>
        <v>#VALUE!</v>
      </c>
    </row>
    <row r="129" spans="14:38" x14ac:dyDescent="0.25">
      <c r="N129" s="80" t="s">
        <v>89</v>
      </c>
      <c r="O129" s="66"/>
      <c r="P129" s="66"/>
      <c r="Q129" s="66" t="e">
        <f>(ROUND(Q35-Q125,0))*10</f>
        <v>#VALUE!</v>
      </c>
      <c r="R129" s="66"/>
      <c r="S129" s="66"/>
      <c r="T129" s="66" t="e">
        <f>(ROUND(T35-T125,0))*10</f>
        <v>#VALUE!</v>
      </c>
      <c r="U129" s="66"/>
      <c r="V129" s="66"/>
      <c r="W129" s="66" t="e">
        <f>(ROUND(W35-W125,1))*10</f>
        <v>#VALUE!</v>
      </c>
      <c r="X129" s="66"/>
      <c r="Y129" s="66"/>
      <c r="Z129" s="114" t="e">
        <f>(ROUND(Z35-Z125,0))*10</f>
        <v>#VALUE!</v>
      </c>
      <c r="AA129" s="66"/>
      <c r="AB129" s="66"/>
      <c r="AC129" s="114" t="e">
        <f>(ROUND(AC35-AC125,0))*10</f>
        <v>#VALUE!</v>
      </c>
      <c r="AD129" s="66"/>
      <c r="AE129" s="66"/>
      <c r="AF129" s="66" t="e">
        <f>(ROUND(AF35-AF125,0))*10</f>
        <v>#VALUE!</v>
      </c>
      <c r="AG129" s="66"/>
      <c r="AH129" s="66"/>
      <c r="AI129" s="66" t="e">
        <f>(ROUND(AI35-AI125,0))*10</f>
        <v>#VALUE!</v>
      </c>
      <c r="AJ129" s="66"/>
      <c r="AK129" s="66"/>
      <c r="AL129" s="67" t="e">
        <f>(ROUND(AL35-AL125,0))*10</f>
        <v>#VALUE!</v>
      </c>
    </row>
    <row r="130" spans="14:38" x14ac:dyDescent="0.25">
      <c r="W130" s="28" t="b">
        <f>IF(OR(B44=TRUE,B45=TRUE,B47=TRUE,B48=TRUE,B49=TRUE,B51=TRUE,B53=TRUE),TRUE,FALSE)</f>
        <v>0</v>
      </c>
    </row>
    <row r="131" spans="14:38" x14ac:dyDescent="0.25">
      <c r="T131" s="23"/>
    </row>
    <row r="132" spans="14:38" x14ac:dyDescent="0.25">
      <c r="T132" s="23"/>
    </row>
  </sheetData>
  <customSheetViews>
    <customSheetView guid="{293DBBB2-31AB-49B6-80A6-A09BA6CFC857}" state="hidden" topLeftCell="A4">
      <selection activeCell="I18" sqref="I18"/>
      <pageMargins left="0.7" right="0.7" top="0.78740157499999996" bottom="0.78740157499999996" header="0.3" footer="0.3"/>
      <pageSetup paperSize="9" orientation="portrait" r:id="rId1"/>
    </customSheetView>
    <customSheetView guid="{94E92B89-7E11-4D1B-8822-B6B0BD88CF68}" state="hidden" topLeftCell="P113">
      <selection activeCell="AM124" sqref="AM124"/>
      <pageMargins left="0.7" right="0.7" top="0.78740157499999996" bottom="0.78740157499999996" header="0.3" footer="0.3"/>
      <pageSetup paperSize="9" orientation="portrait" r:id="rId2"/>
    </customSheetView>
  </customSheetViews>
  <conditionalFormatting sqref="AL51">
    <cfRule type="cellIs" dxfId="70" priority="26" operator="equal">
      <formula>9</formula>
    </cfRule>
    <cfRule type="cellIs" dxfId="69" priority="27" operator="lessThanOrEqual">
      <formula>7</formula>
    </cfRule>
    <cfRule type="cellIs" dxfId="68" priority="28" operator="equal">
      <formula>8</formula>
    </cfRule>
  </conditionalFormatting>
  <conditionalFormatting sqref="AI51">
    <cfRule type="cellIs" dxfId="67" priority="23" operator="equal">
      <formula>9</formula>
    </cfRule>
    <cfRule type="cellIs" dxfId="66" priority="24" operator="lessThanOrEqual">
      <formula>7</formula>
    </cfRule>
    <cfRule type="cellIs" dxfId="65" priority="25" operator="equal">
      <formula>8</formula>
    </cfRule>
  </conditionalFormatting>
  <conditionalFormatting sqref="AF51">
    <cfRule type="cellIs" dxfId="64" priority="20" operator="equal">
      <formula>9</formula>
    </cfRule>
    <cfRule type="cellIs" dxfId="63" priority="21" operator="lessThanOrEqual">
      <formula>7</formula>
    </cfRule>
    <cfRule type="cellIs" dxfId="62" priority="22" operator="equal">
      <formula>8</formula>
    </cfRule>
  </conditionalFormatting>
  <conditionalFormatting sqref="AC51">
    <cfRule type="cellIs" dxfId="61" priority="17" operator="equal">
      <formula>9</formula>
    </cfRule>
    <cfRule type="cellIs" dxfId="60" priority="18" operator="lessThanOrEqual">
      <formula>7</formula>
    </cfRule>
    <cfRule type="cellIs" dxfId="59" priority="19" operator="equal">
      <formula>8</formula>
    </cfRule>
  </conditionalFormatting>
  <conditionalFormatting sqref="Z51">
    <cfRule type="cellIs" dxfId="58" priority="14" operator="equal">
      <formula>9</formula>
    </cfRule>
    <cfRule type="cellIs" dxfId="57" priority="15" operator="lessThanOrEqual">
      <formula>7</formula>
    </cfRule>
    <cfRule type="cellIs" dxfId="56" priority="16" operator="equal">
      <formula>8</formula>
    </cfRule>
  </conditionalFormatting>
  <conditionalFormatting sqref="W51">
    <cfRule type="cellIs" dxfId="55" priority="11" operator="equal">
      <formula>9</formula>
    </cfRule>
    <cfRule type="cellIs" dxfId="54" priority="12" operator="lessThanOrEqual">
      <formula>7</formula>
    </cfRule>
    <cfRule type="cellIs" dxfId="53" priority="13" operator="equal">
      <formula>8</formula>
    </cfRule>
  </conditionalFormatting>
  <conditionalFormatting sqref="T51">
    <cfRule type="cellIs" dxfId="52" priority="8" operator="equal">
      <formula>9</formula>
    </cfRule>
    <cfRule type="cellIs" dxfId="51" priority="9" operator="lessThanOrEqual">
      <formula>7</formula>
    </cfRule>
    <cfRule type="cellIs" dxfId="50" priority="10" operator="equal">
      <formula>8</formula>
    </cfRule>
  </conditionalFormatting>
  <conditionalFormatting sqref="Q51">
    <cfRule type="cellIs" dxfId="49" priority="5" operator="equal">
      <formula>9</formula>
    </cfRule>
    <cfRule type="cellIs" dxfId="48" priority="6" operator="lessThanOrEqual">
      <formula>7</formula>
    </cfRule>
    <cfRule type="cellIs" dxfId="47" priority="7" operator="equal">
      <formula>8</formula>
    </cfRule>
  </conditionalFormatting>
  <pageMargins left="0.7" right="0.7" top="0.78740157499999996" bottom="0.78740157499999996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Q619"/>
  <sheetViews>
    <sheetView topLeftCell="AS1" zoomScale="70" zoomScaleNormal="70" workbookViewId="0">
      <selection activeCell="AE5" sqref="AE5"/>
    </sheetView>
  </sheetViews>
  <sheetFormatPr baseColWidth="10" defaultRowHeight="15" x14ac:dyDescent="0.25"/>
  <cols>
    <col min="2" max="2" width="12.7109375" customWidth="1"/>
    <col min="11" max="11" width="11.42578125" style="115"/>
    <col min="14" max="14" width="16.42578125" customWidth="1"/>
    <col min="17" max="17" width="11.42578125" style="115"/>
    <col min="33" max="33" width="15.28515625" bestFit="1" customWidth="1"/>
    <col min="47" max="47" width="12.5703125" customWidth="1"/>
    <col min="51" max="51" width="17.140625" bestFit="1" customWidth="1"/>
    <col min="52" max="52" width="22.28515625" bestFit="1" customWidth="1"/>
    <col min="55" max="55" width="13.7109375" customWidth="1"/>
    <col min="62" max="62" width="34.85546875" customWidth="1"/>
    <col min="69" max="69" width="17.7109375" bestFit="1" customWidth="1"/>
  </cols>
  <sheetData>
    <row r="1" spans="1:69" ht="15.75" thickBot="1" x14ac:dyDescent="0.3">
      <c r="AM1" t="s">
        <v>273</v>
      </c>
      <c r="AN1" t="s">
        <v>273</v>
      </c>
      <c r="AQ1" t="s">
        <v>273</v>
      </c>
      <c r="AT1" t="s">
        <v>273</v>
      </c>
      <c r="BO1" t="s">
        <v>619</v>
      </c>
    </row>
    <row r="2" spans="1:69" x14ac:dyDescent="0.25">
      <c r="W2" s="28">
        <v>-200</v>
      </c>
      <c r="Z2">
        <f>IF(Schachtselector!C184="",Tabelle3!AA6,IF(BJ24&lt;Tabelle3!AA6,Tabelle3!AA6,$BJ$24))</f>
        <v>400</v>
      </c>
      <c r="AG2" t="s">
        <v>205</v>
      </c>
      <c r="AI2" s="137" t="str">
        <f>IF(OR($C$8=TRUE,$C$9=TRUE),Sprachen!E232,Sprachen!E233)</f>
        <v>UKD</v>
      </c>
      <c r="BB2" t="s">
        <v>245</v>
      </c>
      <c r="BG2" t="s">
        <v>265</v>
      </c>
      <c r="BJ2" s="1" t="s">
        <v>267</v>
      </c>
      <c r="BK2" s="8"/>
      <c r="BL2" s="2"/>
      <c r="BO2" t="s">
        <v>209</v>
      </c>
      <c r="BP2" t="s">
        <v>206</v>
      </c>
    </row>
    <row r="3" spans="1:69" ht="15.75" thickBot="1" x14ac:dyDescent="0.3">
      <c r="W3" t="s">
        <v>168</v>
      </c>
      <c r="AC3" t="s">
        <v>169</v>
      </c>
      <c r="AI3" t="s">
        <v>314</v>
      </c>
      <c r="AJ3" t="b">
        <f>IF(AND(Tabelle3!C13=TRUE,Tabelle2!Q90=TRUE),TRUE,FALSE)</f>
        <v>0</v>
      </c>
      <c r="AN3" t="s">
        <v>209</v>
      </c>
      <c r="AO3" t="s">
        <v>206</v>
      </c>
      <c r="AQ3">
        <v>0</v>
      </c>
      <c r="AT3">
        <v>0</v>
      </c>
      <c r="AU3" t="s">
        <v>174</v>
      </c>
      <c r="AX3" t="s">
        <v>212</v>
      </c>
      <c r="AY3" t="s">
        <v>210</v>
      </c>
      <c r="AZ3" t="s">
        <v>211</v>
      </c>
      <c r="BB3" t="s">
        <v>58</v>
      </c>
      <c r="BC3">
        <f>Tabelle2!B31</f>
        <v>0</v>
      </c>
      <c r="BG3" t="s">
        <v>209</v>
      </c>
      <c r="BH3" t="s">
        <v>206</v>
      </c>
      <c r="BJ3" s="3">
        <f>IF(Tabelle3!BK20=2,Schachtselector!E182,Schachtselector!E182*1000)</f>
        <v>0</v>
      </c>
      <c r="BK3" s="9" t="s">
        <v>209</v>
      </c>
      <c r="BL3" s="4" t="s">
        <v>206</v>
      </c>
      <c r="BO3">
        <v>6.1</v>
      </c>
      <c r="BP3">
        <v>10.4</v>
      </c>
      <c r="BQ3" t="str">
        <f>Sprachen!E234</f>
        <v>segmento successivo</v>
      </c>
    </row>
    <row r="4" spans="1:69" ht="15.75" thickBot="1" x14ac:dyDescent="0.3">
      <c r="R4" t="s">
        <v>133</v>
      </c>
      <c r="S4" t="s">
        <v>134</v>
      </c>
      <c r="W4" s="7" t="s">
        <v>133</v>
      </c>
      <c r="X4" s="7" t="s">
        <v>134</v>
      </c>
      <c r="Z4" s="28">
        <f>IF(Schachtselector!C186="",Tabelle3!Z11,IF(BJ26&lt;Tabelle3!Z11,Tabelle3!Z11,BJ26))</f>
        <v>400</v>
      </c>
      <c r="AC4" t="s">
        <v>133</v>
      </c>
      <c r="AD4" t="s">
        <v>134</v>
      </c>
      <c r="AG4" t="s">
        <v>207</v>
      </c>
      <c r="AH4">
        <f>L43</f>
        <v>-525</v>
      </c>
      <c r="AI4" t="str">
        <f>IFERROR(IF(AO4="","",$AI$2&amp;" "&amp;AO4&amp;AJ5),"")</f>
        <v/>
      </c>
      <c r="AJ4" t="s">
        <v>213</v>
      </c>
      <c r="AK4">
        <f>IF(ISERROR(AQ4),0,AQ4/10)</f>
        <v>0</v>
      </c>
      <c r="AL4" t="b">
        <f>ISERR(AK4)</f>
        <v>0</v>
      </c>
      <c r="AM4" s="1">
        <f>IF(AL4=TRUE,0,AK4)</f>
        <v>0</v>
      </c>
      <c r="AN4" s="162">
        <v>-1500</v>
      </c>
      <c r="AO4" s="61" t="e">
        <f>IF(($M$56+500)&gt;AR4,AR4,AR4)</f>
        <v>#VALUE!</v>
      </c>
      <c r="AP4" s="61" t="b">
        <f>ISERROR(AO4)</f>
        <v>1</v>
      </c>
      <c r="AQ4" s="12">
        <f>IF(AP4=TRUE,0,AO4)</f>
        <v>0</v>
      </c>
      <c r="AR4" s="38">
        <f>IF(AW6=TRUE,AU4,AY12)</f>
        <v>1910</v>
      </c>
      <c r="AS4" s="61" t="b">
        <f>ISERROR(AR4)</f>
        <v>0</v>
      </c>
      <c r="AT4" s="12">
        <f>IF(AS4=TRUE,0,AR4)</f>
        <v>1910</v>
      </c>
      <c r="AU4">
        <v>1910</v>
      </c>
      <c r="AV4" s="148">
        <v>600</v>
      </c>
      <c r="AW4" t="b">
        <f t="shared" ref="AW4:AW11" si="0">C7</f>
        <v>0</v>
      </c>
      <c r="AX4" s="139" t="str">
        <f>IF(AW4=TRUE,Tabelle2!Q123*10,"")</f>
        <v/>
      </c>
      <c r="AY4" s="139" t="str">
        <f>IF(AW4=TRUE,1110,"")</f>
        <v/>
      </c>
      <c r="AZ4" s="139" t="str">
        <f>IF(AW4=TRUE,1110,"")</f>
        <v/>
      </c>
      <c r="BC4" t="b">
        <f>Tabelle2!B32</f>
        <v>0</v>
      </c>
      <c r="BD4" t="str">
        <f>IF(BC4=TRUE,BE4,"")</f>
        <v/>
      </c>
      <c r="BE4">
        <v>42.5</v>
      </c>
      <c r="BG4">
        <f>L11</f>
        <v>-500</v>
      </c>
      <c r="BH4" t="e">
        <f>M58+500</f>
        <v>#VALUE!</v>
      </c>
      <c r="BI4" s="28">
        <f>Schachtselector!E182</f>
        <v>0</v>
      </c>
      <c r="BJ4" s="200" t="str">
        <f>Sprachen!E226&amp;" "&amp;BI4&amp;" M.ü.M"</f>
        <v>Pozzo BS 0 M.ü.M</v>
      </c>
      <c r="BK4" s="9">
        <f>L69+400</f>
        <v>925</v>
      </c>
      <c r="BL4" s="438" t="e">
        <f>N58</f>
        <v>#VALUE!</v>
      </c>
      <c r="BO4">
        <v>6.1</v>
      </c>
      <c r="BP4">
        <v>10.4</v>
      </c>
    </row>
    <row r="5" spans="1:69" ht="15.75" thickBot="1" x14ac:dyDescent="0.3">
      <c r="I5" s="7" t="s">
        <v>339</v>
      </c>
      <c r="N5" t="s">
        <v>132</v>
      </c>
      <c r="O5" t="str">
        <f>P5&amp;Q5</f>
        <v>11</v>
      </c>
      <c r="P5">
        <v>1</v>
      </c>
      <c r="Q5" s="127">
        <v>1</v>
      </c>
      <c r="R5" s="128">
        <v>0</v>
      </c>
      <c r="S5" s="101">
        <v>30</v>
      </c>
      <c r="T5" s="2" t="s">
        <v>163</v>
      </c>
      <c r="V5">
        <v>1</v>
      </c>
      <c r="W5" s="60" t="e">
        <f>IF(AND(C10=TRUE,X5&gt;M54),L11+50-W2,L11+50)</f>
        <v>#VALUE!</v>
      </c>
      <c r="X5" s="189" t="e">
        <f>M58-Z6</f>
        <v>#VALUE!</v>
      </c>
      <c r="Z5">
        <f>Z4</f>
        <v>400</v>
      </c>
      <c r="AB5">
        <v>1</v>
      </c>
      <c r="AC5" s="60">
        <f>L35-E15</f>
        <v>180</v>
      </c>
      <c r="AD5" s="126" t="e">
        <f>IF(Z2=0,$M$56-AA6,(IF(AA6&gt;Z2,($M$56-AA6),$M$56-Z2)))</f>
        <v>#VALUE!</v>
      </c>
      <c r="AE5" t="e">
        <f>ROUND(M56-AD5,0)</f>
        <v>#VALUE!</v>
      </c>
      <c r="AG5" t="s">
        <v>208</v>
      </c>
      <c r="AH5">
        <f>L69</f>
        <v>525</v>
      </c>
      <c r="AJ5" t="str">
        <f>IF($C$8=TRUE,"/1.5",IF($C$9=TRUE,"/1.75",""))</f>
        <v>/1.75</v>
      </c>
      <c r="AM5" s="3"/>
      <c r="AN5" s="163">
        <v>-1200</v>
      </c>
      <c r="AO5" s="66" t="e">
        <f>AO4</f>
        <v>#VALUE!</v>
      </c>
      <c r="AP5" s="61" t="b">
        <f t="shared" ref="AP5:AP67" si="1">ISERROR(AO5)</f>
        <v>1</v>
      </c>
      <c r="AQ5" s="43">
        <f t="shared" ref="AQ5:AQ67" si="2">IF(AP5=TRUE,0,AO5)</f>
        <v>0</v>
      </c>
      <c r="AR5" s="67">
        <f>AY12</f>
        <v>1910</v>
      </c>
      <c r="AS5" s="61" t="b">
        <f t="shared" ref="AS5:AS67" si="3">ISERROR(AR5)</f>
        <v>0</v>
      </c>
      <c r="AT5" s="43">
        <f t="shared" ref="AT5:AT67" si="4">IF(AS5=TRUE,0,AR5)</f>
        <v>1910</v>
      </c>
      <c r="AV5" s="149">
        <v>800</v>
      </c>
      <c r="AW5" t="b">
        <f t="shared" si="0"/>
        <v>0</v>
      </c>
      <c r="AX5" s="139" t="str">
        <f>IF(AW5=TRUE,Tabelle2!T123*10,"")</f>
        <v/>
      </c>
      <c r="AY5" s="139" t="str">
        <f>IF(AW5=TRUE,1580,"")</f>
        <v/>
      </c>
      <c r="AZ5" s="139" t="str">
        <f>IF(AW5=TRUE,480,"")</f>
        <v/>
      </c>
      <c r="BC5" t="b">
        <f>Tabelle2!B33</f>
        <v>0</v>
      </c>
      <c r="BD5" t="str">
        <f t="shared" ref="BD5:BD27" si="5">IF(BC5=TRUE,BE5,"")</f>
        <v/>
      </c>
      <c r="BE5">
        <v>45</v>
      </c>
      <c r="BG5">
        <f>IF(C7=TRUE,L36,L35)</f>
        <v>500</v>
      </c>
      <c r="BH5" t="e">
        <f>BH4</f>
        <v>#VALUE!</v>
      </c>
      <c r="BJ5" s="3"/>
      <c r="BK5" s="9">
        <f>BK4</f>
        <v>925</v>
      </c>
      <c r="BL5" s="4" t="e">
        <f>BL4+50</f>
        <v>#VALUE!</v>
      </c>
      <c r="BO5">
        <v>2</v>
      </c>
      <c r="BP5">
        <v>8.6</v>
      </c>
      <c r="BQ5" t="str">
        <f>Sprachen!E235</f>
        <v>Terreno BS</v>
      </c>
    </row>
    <row r="6" spans="1:69" ht="15.75" thickBot="1" x14ac:dyDescent="0.3">
      <c r="C6" s="369">
        <v>3</v>
      </c>
      <c r="D6" t="s">
        <v>254</v>
      </c>
      <c r="E6" t="s">
        <v>204</v>
      </c>
      <c r="G6" t="s">
        <v>198</v>
      </c>
      <c r="H6" t="s">
        <v>199</v>
      </c>
      <c r="L6" t="s">
        <v>133</v>
      </c>
      <c r="M6" t="s">
        <v>134</v>
      </c>
      <c r="N6" s="120" t="e">
        <f>(Schachtselector!$C$126)+Schachtselector!C180</f>
        <v>#VALUE!</v>
      </c>
      <c r="O6" t="str">
        <f t="shared" ref="O6:O69" si="6">P6&amp;Q6</f>
        <v>11a</v>
      </c>
      <c r="P6">
        <v>1</v>
      </c>
      <c r="Q6" s="129" t="s">
        <v>135</v>
      </c>
      <c r="R6" s="65">
        <v>-295.7</v>
      </c>
      <c r="S6" s="101">
        <v>30</v>
      </c>
      <c r="T6" s="4"/>
      <c r="W6" s="65">
        <f>L12-200</f>
        <v>-700</v>
      </c>
      <c r="X6" s="67" t="e">
        <f>$X$5</f>
        <v>#VALUE!</v>
      </c>
      <c r="Y6" s="115" t="e">
        <f>ROUND(X6,0)</f>
        <v>#VALUE!</v>
      </c>
      <c r="Z6" s="32">
        <f>IF(C7=TRUE,580,IF(Z4&lt;AA6,Z11,Z4))</f>
        <v>400</v>
      </c>
      <c r="AA6">
        <f>IF(C7=TRUE,Z13,IF(Z12=0,Z7,AA11))</f>
        <v>400</v>
      </c>
      <c r="AC6" s="65">
        <f>IF(C9=TRUE,L35+E15*0.4,IF(C7=TRUE,L36+E15,E15+L35))</f>
        <v>628</v>
      </c>
      <c r="AD6" s="67" t="e">
        <f>$AD$5</f>
        <v>#VALUE!</v>
      </c>
      <c r="AI6" t="str">
        <f>IFERROR(IF(AO6="","",$AI$2&amp;" "&amp;AO6&amp;AJ7),"")</f>
        <v/>
      </c>
      <c r="AJ6" t="s">
        <v>214</v>
      </c>
      <c r="AK6">
        <f t="shared" ref="AK6" si="7">IF(ISERROR(AQ6),0,AQ6/10)</f>
        <v>0</v>
      </c>
      <c r="AL6" t="b">
        <f t="shared" ref="AL6" si="8">ISERR(AK6)</f>
        <v>0</v>
      </c>
      <c r="AM6" s="3">
        <f t="shared" ref="AM6" si="9">IF(AL6=TRUE,0,AK6)</f>
        <v>0</v>
      </c>
      <c r="AN6" s="33">
        <v>-1500</v>
      </c>
      <c r="AO6" s="61" t="e">
        <f>IF(($M$56+500)&gt;AR6,AR6,"")</f>
        <v>#VALUE!</v>
      </c>
      <c r="AP6" s="61" t="b">
        <f t="shared" si="1"/>
        <v>1</v>
      </c>
      <c r="AQ6" s="43">
        <f t="shared" si="2"/>
        <v>0</v>
      </c>
      <c r="AR6" s="38">
        <f>IF(AW6=TRUE,AU6,IF((AR4+$AZ$12)&gt;$AX$12,"",AR4+$AZ$12))</f>
        <v>2150</v>
      </c>
      <c r="AS6" s="61" t="b">
        <f t="shared" si="3"/>
        <v>0</v>
      </c>
      <c r="AT6" s="43">
        <f t="shared" si="4"/>
        <v>2150</v>
      </c>
      <c r="AU6">
        <v>2150</v>
      </c>
      <c r="AV6" s="149">
        <v>1000</v>
      </c>
      <c r="AW6" t="b">
        <f t="shared" si="0"/>
        <v>1</v>
      </c>
      <c r="AX6" s="139">
        <f>IF(AW6=TRUE,Tabelle2!W123*10,"")</f>
        <v>5601</v>
      </c>
      <c r="AY6" s="139">
        <f>IF(AW6=TRUE,AU4,"")</f>
        <v>1910</v>
      </c>
      <c r="AZ6" s="139">
        <f>IF(AW6=TRUE,250,"")</f>
        <v>250</v>
      </c>
      <c r="BC6" t="b">
        <f>Tabelle2!B34</f>
        <v>0</v>
      </c>
      <c r="BD6" t="str">
        <f t="shared" si="5"/>
        <v/>
      </c>
      <c r="BE6">
        <v>45</v>
      </c>
      <c r="BG6" t="str">
        <f>"ID="&amp;BG5*2&amp;" mm"</f>
        <v>ID=1000 mm</v>
      </c>
      <c r="BJ6" s="3"/>
      <c r="BK6" s="9"/>
      <c r="BL6" s="4"/>
      <c r="BO6">
        <v>2</v>
      </c>
      <c r="BP6">
        <v>8.6</v>
      </c>
    </row>
    <row r="7" spans="1:69" x14ac:dyDescent="0.25">
      <c r="A7" t="b">
        <f>C7</f>
        <v>0</v>
      </c>
      <c r="B7" s="60" t="s">
        <v>1906</v>
      </c>
      <c r="C7" s="32" t="b">
        <f>IF(C$6=1,TRUE,FALSE)</f>
        <v>0</v>
      </c>
      <c r="D7" s="38" t="str">
        <f>IF(C7=TRUE,430,"")</f>
        <v/>
      </c>
      <c r="E7" s="38" t="str">
        <f>IF(C7=TRUE,100,"")</f>
        <v/>
      </c>
      <c r="F7" s="61" t="str">
        <f>IF(C7=TRUE,1,"")</f>
        <v/>
      </c>
      <c r="G7" s="32" t="str">
        <f>IF(C7=TRUE,Schachtselector!F126,"")</f>
        <v/>
      </c>
      <c r="H7" s="32" t="str">
        <f>IF(C7=TRUE,Schachtselector!G126,"")</f>
        <v/>
      </c>
      <c r="I7" s="60" t="str">
        <f>J7&amp;K7</f>
        <v>31</v>
      </c>
      <c r="J7" s="133">
        <f>SUM(F7:F14)</f>
        <v>3</v>
      </c>
      <c r="K7" s="127">
        <v>1</v>
      </c>
      <c r="L7" s="61">
        <f>VLOOKUP(I7,$O$5:$S$1055,4,0)</f>
        <v>0</v>
      </c>
      <c r="M7" s="38">
        <f>VLOOKUP(I7,$O$5:$S$1055,5,0)</f>
        <v>170</v>
      </c>
      <c r="O7" t="str">
        <f t="shared" si="6"/>
        <v>12</v>
      </c>
      <c r="P7">
        <v>1</v>
      </c>
      <c r="Q7" s="129">
        <v>2</v>
      </c>
      <c r="R7" s="65">
        <v>-295.7</v>
      </c>
      <c r="S7" s="101">
        <v>30</v>
      </c>
      <c r="T7" s="4"/>
      <c r="V7">
        <v>2</v>
      </c>
      <c r="W7" s="60">
        <f>W6</f>
        <v>-700</v>
      </c>
      <c r="X7" s="38" t="e">
        <f>$X$6</f>
        <v>#VALUE!</v>
      </c>
      <c r="Y7" s="28">
        <f>Z6</f>
        <v>400</v>
      </c>
      <c r="Z7" s="60">
        <f>IF(OR(C13=TRUE,C14=TRUE),600,400)</f>
        <v>400</v>
      </c>
      <c r="AA7" s="38"/>
      <c r="AB7">
        <v>2</v>
      </c>
      <c r="AC7" s="60">
        <f>AC5</f>
        <v>180</v>
      </c>
      <c r="AD7" s="38" t="e">
        <f>AD5+50</f>
        <v>#VALUE!</v>
      </c>
      <c r="AJ7" t="str">
        <f>IF($C$8=TRUE,"/2.0",IF($C$9=TRUE,"/2.0",""))</f>
        <v>/2.0</v>
      </c>
      <c r="AM7" s="3"/>
      <c r="AN7" s="163">
        <v>-1200</v>
      </c>
      <c r="AO7" s="66" t="e">
        <f>AO6</f>
        <v>#VALUE!</v>
      </c>
      <c r="AP7" s="61" t="b">
        <f t="shared" si="1"/>
        <v>1</v>
      </c>
      <c r="AQ7" s="43">
        <f t="shared" si="2"/>
        <v>0</v>
      </c>
      <c r="AR7" s="67">
        <f>AR6</f>
        <v>2150</v>
      </c>
      <c r="AS7" s="61" t="b">
        <f t="shared" si="3"/>
        <v>0</v>
      </c>
      <c r="AT7" s="43">
        <f t="shared" si="4"/>
        <v>2150</v>
      </c>
      <c r="AV7" s="149" t="s">
        <v>193</v>
      </c>
      <c r="AW7" t="b">
        <f t="shared" si="0"/>
        <v>0</v>
      </c>
      <c r="AX7" s="139" t="str">
        <f>IF(AW7=TRUE,Tabelle2!Z123*10,"")</f>
        <v/>
      </c>
      <c r="AY7" s="139" t="str">
        <f>IF(AW7=TRUE,1500,"")</f>
        <v/>
      </c>
      <c r="AZ7" s="139" t="str">
        <f>IF(AW7=TRUE,250,"")</f>
        <v/>
      </c>
      <c r="BC7" t="b">
        <f>Tabelle2!B35</f>
        <v>0</v>
      </c>
      <c r="BD7" t="str">
        <f t="shared" si="5"/>
        <v/>
      </c>
      <c r="BE7">
        <v>45</v>
      </c>
      <c r="BJ7" s="212" t="e">
        <f>IF(BK20=2,Sprachen!E227&amp;" "&amp;BJ8&amp;" M.ü.M",Sprachen!E227&amp;" "&amp;BJ8/1000&amp;" M.ü.M")</f>
        <v>#VALUE!</v>
      </c>
      <c r="BK7" s="9">
        <f>BK4</f>
        <v>925</v>
      </c>
      <c r="BL7" s="4" t="e">
        <f>Y6</f>
        <v>#VALUE!</v>
      </c>
      <c r="BO7">
        <v>8.6999999999999993</v>
      </c>
      <c r="BP7">
        <v>3</v>
      </c>
      <c r="BQ7" t="str">
        <f>Sprachen!E236</f>
        <v>Apparecchio inferiore</v>
      </c>
    </row>
    <row r="8" spans="1:69" x14ac:dyDescent="0.25">
      <c r="A8" t="b">
        <f t="shared" ref="A8:A14" si="10">C8</f>
        <v>0</v>
      </c>
      <c r="B8" s="62" t="s">
        <v>289</v>
      </c>
      <c r="C8" s="139" t="b">
        <f>IF(C$6=2,TRUE,FALSE)</f>
        <v>0</v>
      </c>
      <c r="D8" s="63" t="str">
        <f>IF(C8=TRUE,600,"")</f>
        <v/>
      </c>
      <c r="E8" s="63" t="str">
        <f>IF(C8=TRUE,150,"")</f>
        <v/>
      </c>
      <c r="F8" s="9" t="str">
        <f>IF(C8=TRUE,2,"")</f>
        <v/>
      </c>
      <c r="G8" s="139" t="str">
        <f>IF(C8=TRUE,Schachtselector!F133,"")</f>
        <v/>
      </c>
      <c r="H8" s="139" t="str">
        <f>IF(C8=TRUE,Schachtselector!G133,"")</f>
        <v/>
      </c>
      <c r="I8" s="60" t="str">
        <f t="shared" ref="I8:I71" si="11">J8&amp;K8</f>
        <v>31a</v>
      </c>
      <c r="J8">
        <f>J7</f>
        <v>3</v>
      </c>
      <c r="K8" s="129" t="s">
        <v>135</v>
      </c>
      <c r="L8" s="61">
        <f t="shared" ref="L8:L71" si="12">VLOOKUP(I8,$O$5:$S$1055,4,0)</f>
        <v>-500</v>
      </c>
      <c r="M8" s="38">
        <f t="shared" ref="M8:M43" si="13">VLOOKUP(I8,$O$5:$S$1055,5,0)</f>
        <v>170</v>
      </c>
      <c r="O8" t="str">
        <f t="shared" si="6"/>
        <v>12a</v>
      </c>
      <c r="P8">
        <v>1</v>
      </c>
      <c r="Q8" s="129" t="s">
        <v>136</v>
      </c>
      <c r="R8" s="65">
        <v>-295.7</v>
      </c>
      <c r="S8" s="38">
        <v>820</v>
      </c>
      <c r="T8" s="4"/>
      <c r="W8" s="65">
        <f>$W$7</f>
        <v>-700</v>
      </c>
      <c r="X8" s="67" t="e">
        <f>X7+50</f>
        <v>#VALUE!</v>
      </c>
      <c r="Z8" s="62">
        <f>IF(AND(Kollision!R14=TRUE,Kollision!R5=TRUE),785,655)</f>
        <v>655</v>
      </c>
      <c r="AA8" s="63">
        <f>IF(BI64=3.5,Z8,0)</f>
        <v>0</v>
      </c>
      <c r="AC8" s="65">
        <f>AC6</f>
        <v>628</v>
      </c>
      <c r="AD8" s="67" t="e">
        <f>AD6+50</f>
        <v>#VALUE!</v>
      </c>
      <c r="AI8" t="str">
        <f>IFERROR(IF(AO8="","",$AI$2&amp;" "&amp;AO8&amp;AJ9),"")</f>
        <v/>
      </c>
      <c r="AJ8" t="s">
        <v>215</v>
      </c>
      <c r="AK8">
        <f t="shared" ref="AK8" si="14">IF(ISERROR(AQ8),0,AQ8/10)</f>
        <v>0</v>
      </c>
      <c r="AL8" t="b">
        <f t="shared" ref="AL8" si="15">ISERR(AK8)</f>
        <v>0</v>
      </c>
      <c r="AM8" s="3">
        <f t="shared" ref="AM8" si="16">IF(AL8=TRUE,0,AK8)</f>
        <v>0</v>
      </c>
      <c r="AN8" s="33">
        <v>-1500</v>
      </c>
      <c r="AO8" s="61" t="e">
        <f>IF(($M$56+500)&gt;AR8,AR8,"")</f>
        <v>#VALUE!</v>
      </c>
      <c r="AP8" s="61" t="b">
        <f t="shared" si="1"/>
        <v>1</v>
      </c>
      <c r="AQ8" s="43">
        <f t="shared" si="2"/>
        <v>0</v>
      </c>
      <c r="AR8" s="38">
        <f>IF(AW6=TRUE,AU8,IF((AR6+$AZ$12)&gt;$AX$12,"",AR6+$AZ$12))</f>
        <v>2400</v>
      </c>
      <c r="AS8" s="61" t="b">
        <f t="shared" si="3"/>
        <v>0</v>
      </c>
      <c r="AT8" s="43">
        <f t="shared" si="4"/>
        <v>2400</v>
      </c>
      <c r="AU8">
        <v>2400</v>
      </c>
      <c r="AV8" s="149" t="s">
        <v>194</v>
      </c>
      <c r="AW8" t="b">
        <f t="shared" si="0"/>
        <v>0</v>
      </c>
      <c r="AX8" s="139" t="str">
        <f>IF(AW8=TRUE,Tabelle2!AC123*10,"")</f>
        <v/>
      </c>
      <c r="AY8" s="139" t="str">
        <f>IF(AW8=TRUE,1600,"")</f>
        <v/>
      </c>
      <c r="AZ8" s="139" t="str">
        <f>IF(AW8=TRUE,250,"")</f>
        <v/>
      </c>
      <c r="BB8" t="s">
        <v>69</v>
      </c>
      <c r="BC8">
        <f>Tabelle2!B36</f>
        <v>0</v>
      </c>
      <c r="BD8" t="str">
        <f t="shared" si="5"/>
        <v/>
      </c>
      <c r="BJ8" s="3" t="e">
        <f>ROUND(IF(BK20=2,BJ3-((BL4-BL7)/1000),BJ3-(BL4-BL7)),3)</f>
        <v>#VALUE!</v>
      </c>
      <c r="BK8" s="9">
        <f>BK5</f>
        <v>925</v>
      </c>
      <c r="BL8" s="4" t="e">
        <f>BL7+50</f>
        <v>#VALUE!</v>
      </c>
      <c r="BO8">
        <v>8.6999999999999993</v>
      </c>
      <c r="BP8">
        <v>3</v>
      </c>
    </row>
    <row r="9" spans="1:69" x14ac:dyDescent="0.25">
      <c r="A9" t="b">
        <f t="shared" si="10"/>
        <v>1</v>
      </c>
      <c r="B9" s="62" t="s">
        <v>290</v>
      </c>
      <c r="C9" s="139" t="b">
        <f>IF(C$6=3,TRUE,FALSE)</f>
        <v>1</v>
      </c>
      <c r="D9" s="63">
        <f>IF(C9=TRUE,600,"")</f>
        <v>600</v>
      </c>
      <c r="E9" s="63">
        <f>IF(C9=TRUE,320,"")</f>
        <v>320</v>
      </c>
      <c r="F9" s="9">
        <f>IF(C9=TRUE,3,"")</f>
        <v>3</v>
      </c>
      <c r="G9" s="139" t="e">
        <f>IF(C9=TRUE,Schachtselector!F140,"")</f>
        <v>#VALUE!</v>
      </c>
      <c r="H9" s="139" t="e">
        <f>IF(C9=TRUE,Schachtselector!G140,"")</f>
        <v>#VALUE!</v>
      </c>
      <c r="I9" s="60" t="str">
        <f t="shared" si="11"/>
        <v>32</v>
      </c>
      <c r="J9">
        <f t="shared" ref="J9:J72" si="17">J8</f>
        <v>3</v>
      </c>
      <c r="K9" s="129">
        <v>2</v>
      </c>
      <c r="L9" s="61">
        <f t="shared" si="12"/>
        <v>-500</v>
      </c>
      <c r="M9" s="38">
        <f t="shared" si="13"/>
        <v>170</v>
      </c>
      <c r="O9" t="str">
        <f t="shared" si="6"/>
        <v>13</v>
      </c>
      <c r="P9">
        <v>1</v>
      </c>
      <c r="Q9" s="129">
        <v>3</v>
      </c>
      <c r="R9" s="65">
        <v>-295.7</v>
      </c>
      <c r="S9" s="38">
        <v>820</v>
      </c>
      <c r="T9" s="4"/>
      <c r="V9">
        <v>3</v>
      </c>
      <c r="W9" s="60">
        <f>$W$8</f>
        <v>-700</v>
      </c>
      <c r="X9" s="38" t="e">
        <f>$X$8</f>
        <v>#VALUE!</v>
      </c>
      <c r="Z9" s="62">
        <v>850</v>
      </c>
      <c r="AA9" s="63">
        <f>IF(BG64=25,Z9,0)</f>
        <v>0</v>
      </c>
      <c r="AB9">
        <v>3</v>
      </c>
      <c r="AC9" s="60">
        <f>$AC$8</f>
        <v>628</v>
      </c>
      <c r="AD9" s="38" t="e">
        <f>$AD$8</f>
        <v>#VALUE!</v>
      </c>
      <c r="AJ9" t="str">
        <f>IF($C$8=TRUE,"/2.5",IF($C$9=TRUE,"/2.25",""))</f>
        <v>/2.25</v>
      </c>
      <c r="AM9" s="3"/>
      <c r="AN9" s="163">
        <v>-1200</v>
      </c>
      <c r="AO9" s="66" t="e">
        <f>AO8</f>
        <v>#VALUE!</v>
      </c>
      <c r="AP9" s="61" t="b">
        <f t="shared" si="1"/>
        <v>1</v>
      </c>
      <c r="AQ9" s="43">
        <f t="shared" si="2"/>
        <v>0</v>
      </c>
      <c r="AR9" s="67">
        <f>AR8</f>
        <v>2400</v>
      </c>
      <c r="AS9" s="61" t="b">
        <f t="shared" si="3"/>
        <v>0</v>
      </c>
      <c r="AT9" s="43">
        <f t="shared" si="4"/>
        <v>2400</v>
      </c>
      <c r="AV9" s="149" t="s">
        <v>195</v>
      </c>
      <c r="AW9" t="b">
        <f t="shared" si="0"/>
        <v>0</v>
      </c>
      <c r="AX9" s="139" t="str">
        <f>IF(AW9=TRUE,Tabelle2!AF123*10,"")</f>
        <v/>
      </c>
      <c r="AY9" s="139" t="str">
        <f>IF(AW9=TRUE,1620,"")</f>
        <v/>
      </c>
      <c r="AZ9" s="139" t="str">
        <f>IF(AW9=TRUE,250,"")</f>
        <v/>
      </c>
      <c r="BC9" t="b">
        <f>Tabelle2!B37</f>
        <v>0</v>
      </c>
      <c r="BD9" t="str">
        <f t="shared" si="5"/>
        <v/>
      </c>
      <c r="BE9">
        <v>40</v>
      </c>
      <c r="BJ9" s="3"/>
      <c r="BK9" s="9"/>
      <c r="BL9" s="4"/>
      <c r="BO9">
        <v>1.2</v>
      </c>
      <c r="BP9">
        <v>2.8</v>
      </c>
      <c r="BQ9" t="str">
        <f>Sprachen!E237</f>
        <v>VR</v>
      </c>
    </row>
    <row r="10" spans="1:69" x14ac:dyDescent="0.25">
      <c r="A10" t="b">
        <f t="shared" si="10"/>
        <v>0</v>
      </c>
      <c r="B10" s="62" t="s">
        <v>115</v>
      </c>
      <c r="C10" s="139" t="b">
        <f>IF(C$6=4,TRUE,FALSE)</f>
        <v>0</v>
      </c>
      <c r="D10" s="63" t="str">
        <f>IF(C10=TRUE,600,"")</f>
        <v/>
      </c>
      <c r="E10" s="63" t="str">
        <f>IF(C10=TRUE,200,"")</f>
        <v/>
      </c>
      <c r="F10" s="9" t="str">
        <f>IF(C10=TRUE,4,"")</f>
        <v/>
      </c>
      <c r="G10" s="139" t="str">
        <f>IF(C10=TRUE,Schachtselector!F146,"")</f>
        <v/>
      </c>
      <c r="H10" s="139" t="str">
        <f>IF(C10=TRUE,Schachtselector!G146,"")</f>
        <v/>
      </c>
      <c r="I10" s="60" t="str">
        <f t="shared" si="11"/>
        <v>32a</v>
      </c>
      <c r="J10">
        <f t="shared" si="17"/>
        <v>3</v>
      </c>
      <c r="K10" s="129" t="s">
        <v>136</v>
      </c>
      <c r="L10" s="61">
        <f t="shared" si="12"/>
        <v>-500</v>
      </c>
      <c r="M10" s="38">
        <f>VLOOKUP(I10,$O$5:$S$1055,5,0)</f>
        <v>500</v>
      </c>
      <c r="O10" t="str">
        <f t="shared" si="6"/>
        <v>13a</v>
      </c>
      <c r="P10">
        <v>1</v>
      </c>
      <c r="Q10" s="129" t="s">
        <v>137</v>
      </c>
      <c r="R10" s="65">
        <v>-295.7</v>
      </c>
      <c r="S10" s="38">
        <v>820</v>
      </c>
      <c r="T10" s="4"/>
      <c r="W10" s="65" t="e">
        <f>$W$5</f>
        <v>#VALUE!</v>
      </c>
      <c r="X10" s="67" t="e">
        <f>$X$9</f>
        <v>#VALUE!</v>
      </c>
      <c r="Z10" s="62">
        <v>790</v>
      </c>
      <c r="AA10" s="63">
        <f>IF(BD64=17,Z10,0)</f>
        <v>0</v>
      </c>
      <c r="AC10" s="65">
        <f>$AC$8</f>
        <v>628</v>
      </c>
      <c r="AD10" s="67" t="e">
        <f>$AD$6</f>
        <v>#VALUE!</v>
      </c>
      <c r="AI10" t="str">
        <f>IFERROR(IF(AO10="","",$AI$2&amp;" "&amp;AO10&amp;AJ11),"")</f>
        <v/>
      </c>
      <c r="AJ10" t="s">
        <v>216</v>
      </c>
      <c r="AK10">
        <f t="shared" ref="AK10" si="18">IF(ISERROR(AQ10),0,AQ10/10)</f>
        <v>0</v>
      </c>
      <c r="AL10" t="b">
        <f t="shared" ref="AL10" si="19">ISERR(AK10)</f>
        <v>0</v>
      </c>
      <c r="AM10" s="3">
        <f t="shared" ref="AM10" si="20">IF(AL10=TRUE,0,AK10)</f>
        <v>0</v>
      </c>
      <c r="AN10" s="33">
        <v>-1500</v>
      </c>
      <c r="AO10" s="61" t="e">
        <f>IF(($M$56+500)&gt;AR10,AR10,"")</f>
        <v>#VALUE!</v>
      </c>
      <c r="AP10" s="61" t="b">
        <f t="shared" si="1"/>
        <v>1</v>
      </c>
      <c r="AQ10" s="43">
        <f t="shared" si="2"/>
        <v>0</v>
      </c>
      <c r="AR10" s="38">
        <f>IF(AW6=TRUE,AU10,IF((AR8+$AZ$12)&gt;$AX$12,"",AR8+$AZ$12))</f>
        <v>2650</v>
      </c>
      <c r="AS10" s="61" t="b">
        <f t="shared" si="3"/>
        <v>0</v>
      </c>
      <c r="AT10" s="43">
        <f t="shared" si="4"/>
        <v>2650</v>
      </c>
      <c r="AU10">
        <v>2650</v>
      </c>
      <c r="AV10" s="149" t="s">
        <v>196</v>
      </c>
      <c r="AW10" t="b">
        <f t="shared" si="0"/>
        <v>0</v>
      </c>
      <c r="AX10" s="139" t="str">
        <f>IF(AW10=TRUE,1,"")</f>
        <v/>
      </c>
      <c r="AY10" s="139" t="str">
        <f>IF(AW10=TRUE,1750,"")</f>
        <v/>
      </c>
      <c r="AZ10" s="139"/>
      <c r="BC10" t="b">
        <f>Tabelle2!B38</f>
        <v>0</v>
      </c>
      <c r="BD10" t="str">
        <f t="shared" si="5"/>
        <v/>
      </c>
      <c r="BE10">
        <v>50</v>
      </c>
      <c r="BJ10" s="212" t="e">
        <f>IF(BK20=2,Sprachen!E228&amp;" "&amp;BJ11&amp;" M.ü.M",Sprachen!E228&amp;" "&amp;BJ11/1000&amp;" M.ü.M")</f>
        <v>#VALUE!</v>
      </c>
      <c r="BK10" s="9">
        <f>BK4</f>
        <v>925</v>
      </c>
      <c r="BL10" s="4">
        <v>0</v>
      </c>
      <c r="BO10">
        <v>1.2</v>
      </c>
      <c r="BP10">
        <v>2.8</v>
      </c>
    </row>
    <row r="11" spans="1:69" x14ac:dyDescent="0.25">
      <c r="A11" t="b">
        <f t="shared" si="10"/>
        <v>0</v>
      </c>
      <c r="B11" s="62" t="s">
        <v>366</v>
      </c>
      <c r="C11" s="139" t="b">
        <f>IF(C$6=5,TRUE,FALSE)</f>
        <v>0</v>
      </c>
      <c r="D11" s="63" t="str">
        <f t="shared" ref="D11:D12" si="21">IF(C11=TRUE,IF(BD55=TRUE,580,IF(BE55=TRUE,780,"")),"")</f>
        <v/>
      </c>
      <c r="E11" s="63" t="str">
        <f>IF(C11=TRUE,150,"")</f>
        <v/>
      </c>
      <c r="F11" s="9" t="str">
        <f>IF(C11=TRUE,5,"")</f>
        <v/>
      </c>
      <c r="G11" s="139" t="str">
        <f>IF(C11=TRUE,Schachtselector!F153,"")</f>
        <v/>
      </c>
      <c r="H11" s="139" t="str">
        <f>IF(C11=TRUE,Schachtselector!G153,"")</f>
        <v/>
      </c>
      <c r="I11" s="60" t="str">
        <f t="shared" si="11"/>
        <v>33</v>
      </c>
      <c r="J11">
        <f t="shared" si="17"/>
        <v>3</v>
      </c>
      <c r="K11" s="129">
        <v>3</v>
      </c>
      <c r="L11" s="61">
        <f t="shared" si="12"/>
        <v>-500</v>
      </c>
      <c r="M11" s="38">
        <f>VLOOKUP(I11,$O$5:$S$1055,5,0)</f>
        <v>500</v>
      </c>
      <c r="O11" t="str">
        <f t="shared" si="6"/>
        <v>14</v>
      </c>
      <c r="P11">
        <v>1</v>
      </c>
      <c r="Q11" s="129">
        <v>4</v>
      </c>
      <c r="R11" s="65">
        <v>-295.7</v>
      </c>
      <c r="S11" s="38">
        <v>820</v>
      </c>
      <c r="T11" s="4"/>
      <c r="V11">
        <v>4</v>
      </c>
      <c r="W11" s="60" t="e">
        <f>W10</f>
        <v>#VALUE!</v>
      </c>
      <c r="X11" s="38" t="e">
        <f>X10</f>
        <v>#VALUE!</v>
      </c>
      <c r="Z11" s="65">
        <f>IF(AA11&gt;1,AA11,Z7)</f>
        <v>400</v>
      </c>
      <c r="AA11" s="67">
        <f>SUM(AA8:AA10)</f>
        <v>0</v>
      </c>
      <c r="AB11">
        <v>4</v>
      </c>
      <c r="AC11" s="60">
        <f>$AC$7</f>
        <v>180</v>
      </c>
      <c r="AD11" s="38" t="e">
        <f>$AD$9</f>
        <v>#VALUE!</v>
      </c>
      <c r="AJ11" t="str">
        <f>IF($C$9=TRUE,"/2.5","")</f>
        <v>/2.5</v>
      </c>
      <c r="AM11" s="3"/>
      <c r="AN11" s="163">
        <v>-1200</v>
      </c>
      <c r="AO11" s="66" t="e">
        <f>AO10</f>
        <v>#VALUE!</v>
      </c>
      <c r="AP11" s="61" t="b">
        <f t="shared" si="1"/>
        <v>1</v>
      </c>
      <c r="AQ11" s="43">
        <f t="shared" si="2"/>
        <v>0</v>
      </c>
      <c r="AR11" s="67">
        <f>AR10</f>
        <v>2650</v>
      </c>
      <c r="AS11" s="61" t="b">
        <f t="shared" si="3"/>
        <v>0</v>
      </c>
      <c r="AT11" s="43">
        <f t="shared" si="4"/>
        <v>2650</v>
      </c>
      <c r="AV11" s="150" t="s">
        <v>197</v>
      </c>
      <c r="AW11" t="b">
        <f t="shared" si="0"/>
        <v>0</v>
      </c>
      <c r="AX11" s="139" t="str">
        <f>IF(AW11=TRUE,1,"")</f>
        <v/>
      </c>
      <c r="AY11" s="139" t="str">
        <f>IF(AW11=TRUE,1750,"")</f>
        <v/>
      </c>
      <c r="AZ11" s="139"/>
      <c r="BB11" t="s">
        <v>56</v>
      </c>
      <c r="BC11">
        <f>Tabelle2!B39</f>
        <v>0</v>
      </c>
      <c r="BD11" t="str">
        <f t="shared" si="5"/>
        <v/>
      </c>
      <c r="BJ11" s="462" t="e">
        <f>ROUND(IF(BK20=2,BJ3-(BL4/1000),(BJ3-BL4)),3)</f>
        <v>#VALUE!</v>
      </c>
      <c r="BK11" s="9">
        <f>BK5</f>
        <v>925</v>
      </c>
      <c r="BL11" s="4">
        <v>50</v>
      </c>
    </row>
    <row r="12" spans="1:69" x14ac:dyDescent="0.25">
      <c r="A12" t="b">
        <f t="shared" si="10"/>
        <v>0</v>
      </c>
      <c r="B12" s="62" t="s">
        <v>1054</v>
      </c>
      <c r="C12" s="139" t="b">
        <f>IF(C$6=6,TRUE,FALSE)</f>
        <v>0</v>
      </c>
      <c r="D12" s="63" t="str">
        <f t="shared" si="21"/>
        <v/>
      </c>
      <c r="E12" s="63" t="str">
        <f>IF(C12=TRUE,150,"")</f>
        <v/>
      </c>
      <c r="F12" s="9" t="str">
        <f>IF(C12=TRUE,6,"")</f>
        <v/>
      </c>
      <c r="G12" s="139" t="str">
        <f>IF(C12=TRUE,Schachtselector!F160,"")</f>
        <v/>
      </c>
      <c r="H12" s="139" t="str">
        <f>IF(C12=TRUE,Schachtselector!G160,"")</f>
        <v/>
      </c>
      <c r="I12" s="60" t="str">
        <f t="shared" si="11"/>
        <v>33a</v>
      </c>
      <c r="J12">
        <f t="shared" si="17"/>
        <v>3</v>
      </c>
      <c r="K12" s="129" t="s">
        <v>137</v>
      </c>
      <c r="L12" s="61">
        <f t="shared" si="12"/>
        <v>-500</v>
      </c>
      <c r="M12" s="38" t="e">
        <f>ROUND(VLOOKUP(I12,$O$5:$S$1055,5,0),0)+D25</f>
        <v>#VALUE!</v>
      </c>
      <c r="O12" t="str">
        <f t="shared" si="6"/>
        <v>14a</v>
      </c>
      <c r="P12">
        <v>1</v>
      </c>
      <c r="Q12" s="129" t="s">
        <v>138</v>
      </c>
      <c r="R12" s="65">
        <v>-176</v>
      </c>
      <c r="S12" s="38">
        <v>820</v>
      </c>
      <c r="T12" s="4"/>
      <c r="W12" s="65" t="e">
        <f>$W$11</f>
        <v>#VALUE!</v>
      </c>
      <c r="X12" s="67" t="e">
        <f>X11+70</f>
        <v>#VALUE!</v>
      </c>
      <c r="Z12">
        <f>IF(AA11&gt;1,1,0)</f>
        <v>0</v>
      </c>
      <c r="AC12" s="65">
        <f>$AC$7</f>
        <v>180</v>
      </c>
      <c r="AD12" s="67" t="e">
        <f>$AD$6</f>
        <v>#VALUE!</v>
      </c>
      <c r="AI12" t="str">
        <f>IFERROR(IF(AO12="","",$AI$2&amp;" "&amp;AO12&amp;AJ13),"")</f>
        <v/>
      </c>
      <c r="AJ12" t="s">
        <v>217</v>
      </c>
      <c r="AK12">
        <f t="shared" ref="AK12" si="22">IF(ISERROR(AQ12),0,AQ12/10)</f>
        <v>0</v>
      </c>
      <c r="AL12" t="b">
        <f t="shared" ref="AL12" si="23">ISERR(AK12)</f>
        <v>0</v>
      </c>
      <c r="AM12" s="3">
        <f t="shared" ref="AM12" si="24">IF(AL12=TRUE,0,AK12)</f>
        <v>0</v>
      </c>
      <c r="AN12" s="33">
        <v>-1500</v>
      </c>
      <c r="AO12" s="61" t="e">
        <f>IF(($M$56+500)&gt;AR12,AR12,"")</f>
        <v>#VALUE!</v>
      </c>
      <c r="AP12" s="61" t="b">
        <f t="shared" si="1"/>
        <v>1</v>
      </c>
      <c r="AQ12" s="43">
        <f>IF(AP12=TRUE,0,AO12)</f>
        <v>0</v>
      </c>
      <c r="AR12" s="38">
        <f>IF(AW6=TRUE,AU12,IF((AR10+$AZ$12)&gt;$AX$12,"",AR10+$AZ$12))</f>
        <v>2900</v>
      </c>
      <c r="AS12" s="61" t="b">
        <f t="shared" si="3"/>
        <v>0</v>
      </c>
      <c r="AT12" s="43">
        <f t="shared" si="4"/>
        <v>2900</v>
      </c>
      <c r="AU12">
        <v>2900</v>
      </c>
      <c r="AX12">
        <f>SUM(AX4:AX11)</f>
        <v>5601</v>
      </c>
      <c r="AY12" s="147">
        <f>SUM(AY4:AY11)</f>
        <v>1910</v>
      </c>
      <c r="AZ12">
        <f>SUM(AZ4:AZ11)</f>
        <v>250</v>
      </c>
      <c r="BC12" t="b">
        <f>Tabelle2!B40</f>
        <v>0</v>
      </c>
      <c r="BD12" t="str">
        <f t="shared" si="5"/>
        <v/>
      </c>
      <c r="BE12">
        <v>50</v>
      </c>
      <c r="BJ12" s="3"/>
      <c r="BK12" s="9"/>
      <c r="BL12" s="4"/>
    </row>
    <row r="13" spans="1:69" x14ac:dyDescent="0.25">
      <c r="A13" t="b">
        <f t="shared" si="10"/>
        <v>0</v>
      </c>
      <c r="B13" s="62" t="s">
        <v>293</v>
      </c>
      <c r="C13" s="139" t="b">
        <f>IF(C$6=7,TRUE,FALSE)</f>
        <v>0</v>
      </c>
      <c r="D13" s="63" t="str">
        <f>IF(C13=TRUE,IF(BD57=TRUE,600,IF(BE57=TRUE,600,"")),"")</f>
        <v/>
      </c>
      <c r="E13" s="63" t="str">
        <f>IF(C13=TRUE,100,"")</f>
        <v/>
      </c>
      <c r="F13" s="9" t="str">
        <f>IF(C13=TRUE,7,"")</f>
        <v/>
      </c>
      <c r="G13" s="139" t="str">
        <f>IF(C13=TRUE,Schachtselector!F167,"")</f>
        <v/>
      </c>
      <c r="H13" s="139" t="str">
        <f>IF(C13=TRUE,Schachtselector!G167,"")</f>
        <v/>
      </c>
      <c r="I13" s="60" t="str">
        <f t="shared" si="11"/>
        <v>34</v>
      </c>
      <c r="J13">
        <f t="shared" si="17"/>
        <v>3</v>
      </c>
      <c r="K13" s="129">
        <v>4</v>
      </c>
      <c r="L13" s="61">
        <f t="shared" si="12"/>
        <v>-500</v>
      </c>
      <c r="M13" s="38" t="e">
        <f>VLOOKUP(I13,$O$5:$S$1055,5,0)+D25</f>
        <v>#VALUE!</v>
      </c>
      <c r="O13" t="str">
        <f t="shared" si="6"/>
        <v>14b</v>
      </c>
      <c r="P13">
        <v>1</v>
      </c>
      <c r="Q13" s="129" t="s">
        <v>147</v>
      </c>
      <c r="R13" s="65">
        <v>-176</v>
      </c>
      <c r="S13" s="38">
        <v>820</v>
      </c>
      <c r="T13" s="4"/>
      <c r="V13">
        <v>5</v>
      </c>
      <c r="W13" s="60" t="e">
        <f>W12</f>
        <v>#VALUE!</v>
      </c>
      <c r="X13" s="38" t="e">
        <f>X12</f>
        <v>#VALUE!</v>
      </c>
      <c r="Y13" t="s">
        <v>1921</v>
      </c>
      <c r="Z13">
        <v>400</v>
      </c>
      <c r="AB13">
        <v>5</v>
      </c>
      <c r="AC13" s="60">
        <f>$AC$8+150</f>
        <v>778</v>
      </c>
      <c r="AD13" s="38" t="e">
        <f>$AD$11-25</f>
        <v>#VALUE!</v>
      </c>
      <c r="AJ13" t="str">
        <f>IF($C$9=TRUE,"/2.75","")</f>
        <v>/2.75</v>
      </c>
      <c r="AM13" s="3"/>
      <c r="AN13" s="163">
        <v>-1200</v>
      </c>
      <c r="AO13" s="66" t="e">
        <f>AO12</f>
        <v>#VALUE!</v>
      </c>
      <c r="AP13" s="61" t="b">
        <f t="shared" si="1"/>
        <v>1</v>
      </c>
      <c r="AQ13" s="43">
        <f t="shared" si="2"/>
        <v>0</v>
      </c>
      <c r="AR13" s="67">
        <f>AR12</f>
        <v>2900</v>
      </c>
      <c r="AS13" s="61" t="b">
        <f t="shared" si="3"/>
        <v>0</v>
      </c>
      <c r="AT13" s="43">
        <f t="shared" si="4"/>
        <v>2900</v>
      </c>
      <c r="BB13" t="s">
        <v>70</v>
      </c>
      <c r="BC13">
        <f>Tabelle2!B41</f>
        <v>0</v>
      </c>
      <c r="BD13" t="str">
        <f t="shared" si="5"/>
        <v/>
      </c>
      <c r="BJ13" s="3" t="s">
        <v>274</v>
      </c>
      <c r="BK13" s="9">
        <v>-1500</v>
      </c>
      <c r="BL13" s="4">
        <v>5</v>
      </c>
    </row>
    <row r="14" spans="1:69" x14ac:dyDescent="0.25">
      <c r="A14" t="b">
        <f t="shared" si="10"/>
        <v>0</v>
      </c>
      <c r="B14" s="65" t="s">
        <v>294</v>
      </c>
      <c r="C14" s="140" t="b">
        <f>IF(C$6=8,TRUE,FALSE)</f>
        <v>0</v>
      </c>
      <c r="D14" s="67" t="str">
        <f>IF(C14=TRUE,IF(BD58=TRUE,580,IF(BE58=TRUE,780,"")),"")</f>
        <v/>
      </c>
      <c r="E14" s="67" t="str">
        <f>IF(C14=TRUE,100,"")</f>
        <v/>
      </c>
      <c r="F14" s="66" t="str">
        <f>IF(C14=TRUE,8,"")</f>
        <v/>
      </c>
      <c r="G14" s="140" t="str">
        <f>IF(C14=TRUE,Schachtselector!F174,"")</f>
        <v/>
      </c>
      <c r="H14" s="140" t="str">
        <f>IF(C14=TRUE,Schachtselector!G174,"")</f>
        <v/>
      </c>
      <c r="I14" s="60" t="str">
        <f t="shared" si="11"/>
        <v>34a</v>
      </c>
      <c r="J14">
        <f t="shared" si="17"/>
        <v>3</v>
      </c>
      <c r="K14" s="129" t="s">
        <v>138</v>
      </c>
      <c r="L14" s="61">
        <f t="shared" si="12"/>
        <v>-498.22814296703154</v>
      </c>
      <c r="M14" s="38" t="e">
        <f>VLOOKUP(I14,$O$5:$S$1055,5,0)+D25</f>
        <v>#VALUE!</v>
      </c>
      <c r="O14" t="str">
        <f t="shared" si="6"/>
        <v>14c</v>
      </c>
      <c r="P14">
        <v>1</v>
      </c>
      <c r="Q14" s="115" t="s">
        <v>176</v>
      </c>
      <c r="R14" s="65">
        <v>-176</v>
      </c>
      <c r="S14" s="38">
        <v>820</v>
      </c>
      <c r="T14" s="4"/>
      <c r="W14" s="65" t="e">
        <f>W13+50</f>
        <v>#VALUE!</v>
      </c>
      <c r="X14" s="67" t="e">
        <f>$X$13</f>
        <v>#VALUE!</v>
      </c>
      <c r="AC14" s="65">
        <f>$AC$12-150</f>
        <v>30</v>
      </c>
      <c r="AD14" s="67" t="e">
        <f>$AD$13</f>
        <v>#VALUE!</v>
      </c>
      <c r="AI14" t="str">
        <f>IFERROR(IF(AO14="","",$AI$2&amp;" "&amp;AO14&amp;AJ15),"")</f>
        <v/>
      </c>
      <c r="AJ14" t="s">
        <v>218</v>
      </c>
      <c r="AK14">
        <f t="shared" ref="AK14" si="25">IF(ISERROR(AQ14),0,AQ14/10)</f>
        <v>0</v>
      </c>
      <c r="AL14" t="b">
        <f t="shared" ref="AL14" si="26">ISERR(AK14)</f>
        <v>0</v>
      </c>
      <c r="AM14" s="3">
        <f t="shared" ref="AM14" si="27">IF(AL14=TRUE,0,AK14)</f>
        <v>0</v>
      </c>
      <c r="AN14" s="33">
        <v>-1500</v>
      </c>
      <c r="AO14" s="61" t="e">
        <f>IF(($M$56+500)&gt;AR14,AR14,"")</f>
        <v>#VALUE!</v>
      </c>
      <c r="AP14" s="61" t="b">
        <f t="shared" si="1"/>
        <v>1</v>
      </c>
      <c r="AQ14" s="43">
        <f>IF(AP14=TRUE,0,AO14)</f>
        <v>0</v>
      </c>
      <c r="AR14" s="38">
        <f>IF(AW6=TRUE,AU14,IF((AR12+$AZ$12)&gt;$AX$12,"",AR12+$AZ$12))</f>
        <v>3130</v>
      </c>
      <c r="AS14" s="61" t="b">
        <f t="shared" si="3"/>
        <v>0</v>
      </c>
      <c r="AT14" s="43">
        <f t="shared" si="4"/>
        <v>3130</v>
      </c>
      <c r="AU14">
        <v>3130</v>
      </c>
      <c r="AV14" s="151"/>
      <c r="BC14" t="b">
        <f>Tabelle2!B42</f>
        <v>0</v>
      </c>
      <c r="BD14" t="str">
        <f t="shared" si="5"/>
        <v/>
      </c>
      <c r="BE14">
        <v>45</v>
      </c>
      <c r="BJ14" s="3"/>
      <c r="BK14" s="9">
        <v>1500</v>
      </c>
      <c r="BL14" s="4">
        <v>5</v>
      </c>
    </row>
    <row r="15" spans="1:69" x14ac:dyDescent="0.25">
      <c r="D15" s="147">
        <f>SUM(D7:D14)</f>
        <v>600</v>
      </c>
      <c r="E15">
        <f>SUM(E7:E14)</f>
        <v>320</v>
      </c>
      <c r="F15">
        <f>SUM(F7:F14)</f>
        <v>3</v>
      </c>
      <c r="G15" t="e">
        <f>SUM(G7:G14)</f>
        <v>#VALUE!</v>
      </c>
      <c r="H15" t="e">
        <f>SUM(H7:H14)</f>
        <v>#VALUE!</v>
      </c>
      <c r="I15" s="60" t="str">
        <f t="shared" si="11"/>
        <v>34b</v>
      </c>
      <c r="J15">
        <f t="shared" si="17"/>
        <v>3</v>
      </c>
      <c r="K15" s="129" t="s">
        <v>147</v>
      </c>
      <c r="L15" s="61">
        <f t="shared" si="12"/>
        <v>-493.03332099679079</v>
      </c>
      <c r="M15" s="38" t="e">
        <f>VLOOKUP(I15,$O$5:$S$1055,5,0)+D25</f>
        <v>#VALUE!</v>
      </c>
      <c r="O15" t="str">
        <f t="shared" si="6"/>
        <v>14d</v>
      </c>
      <c r="P15">
        <v>1</v>
      </c>
      <c r="Q15" s="115" t="s">
        <v>177</v>
      </c>
      <c r="R15" s="65">
        <v>-176</v>
      </c>
      <c r="S15" s="38">
        <v>820</v>
      </c>
      <c r="T15" s="4"/>
      <c r="V15">
        <v>6</v>
      </c>
      <c r="W15" s="60" t="e">
        <f>W14</f>
        <v>#VALUE!</v>
      </c>
      <c r="X15" s="38" t="e">
        <f>X14</f>
        <v>#VALUE!</v>
      </c>
      <c r="AJ15" t="str">
        <f>IF($C$9=TRUE,"/3.0","")</f>
        <v>/3.0</v>
      </c>
      <c r="AM15" s="3"/>
      <c r="AN15" s="163">
        <v>-1200</v>
      </c>
      <c r="AO15" s="66" t="e">
        <f>AO14</f>
        <v>#VALUE!</v>
      </c>
      <c r="AP15" s="61" t="b">
        <f t="shared" si="1"/>
        <v>1</v>
      </c>
      <c r="AQ15" s="43">
        <f t="shared" si="2"/>
        <v>0</v>
      </c>
      <c r="AR15" s="67">
        <f>AR14</f>
        <v>3130</v>
      </c>
      <c r="AS15" s="61" t="b">
        <f t="shared" si="3"/>
        <v>0</v>
      </c>
      <c r="AT15" s="43">
        <f t="shared" si="4"/>
        <v>3130</v>
      </c>
      <c r="BB15" t="s">
        <v>71</v>
      </c>
      <c r="BC15">
        <f>Tabelle2!B43</f>
        <v>0</v>
      </c>
      <c r="BD15" t="str">
        <f t="shared" si="5"/>
        <v/>
      </c>
      <c r="BJ15" s="3"/>
      <c r="BK15" s="9"/>
      <c r="BL15" s="4"/>
    </row>
    <row r="16" spans="1:69" ht="15.75" thickBot="1" x14ac:dyDescent="0.3">
      <c r="A16" t="b">
        <v>1</v>
      </c>
      <c r="B16" t="str">
        <f>VLOOKUP(A16,A7:B14,2,0)</f>
        <v xml:space="preserve"> FPS DN 1000</v>
      </c>
      <c r="G16" t="e">
        <f>ROUND(G15,1)</f>
        <v>#VALUE!</v>
      </c>
      <c r="H16" t="e">
        <f>ROUND(H15,1)</f>
        <v>#VALUE!</v>
      </c>
      <c r="I16" s="60" t="str">
        <f t="shared" si="11"/>
        <v>34c</v>
      </c>
      <c r="J16">
        <f t="shared" si="17"/>
        <v>3</v>
      </c>
      <c r="K16" s="115" t="s">
        <v>176</v>
      </c>
      <c r="L16" s="61">
        <f t="shared" si="12"/>
        <v>-484.76955262170048</v>
      </c>
      <c r="M16" s="38" t="e">
        <f>VLOOKUP(I16,$O$5:$S$1055,5,0)+D25</f>
        <v>#VALUE!</v>
      </c>
      <c r="O16" t="str">
        <f t="shared" si="6"/>
        <v>14e</v>
      </c>
      <c r="P16">
        <v>1</v>
      </c>
      <c r="Q16" s="115" t="s">
        <v>178</v>
      </c>
      <c r="R16" s="65">
        <v>-176</v>
      </c>
      <c r="S16" s="38">
        <v>820</v>
      </c>
      <c r="T16" s="4"/>
      <c r="W16" s="65" t="e">
        <f>$W$15</f>
        <v>#VALUE!</v>
      </c>
      <c r="X16" s="38" t="e">
        <f>X5-50</f>
        <v>#VALUE!</v>
      </c>
      <c r="Z16" s="137" t="str">
        <f>AB16&amp;" "&amp;(AA16)</f>
        <v>H SU 170</v>
      </c>
      <c r="AA16">
        <f>ROUND(AD16,0)</f>
        <v>170</v>
      </c>
      <c r="AB16" s="137" t="str">
        <f>Sprachen!E231</f>
        <v>H SU</v>
      </c>
      <c r="AC16" s="60">
        <f>L11-500</f>
        <v>-1000</v>
      </c>
      <c r="AD16" s="38">
        <f>$M$7+AB17</f>
        <v>170</v>
      </c>
      <c r="AI16" t="str">
        <f>IFERROR(IF(AO16="","",$AI$2&amp;" "&amp;AO16&amp;AJ17),"")</f>
        <v/>
      </c>
      <c r="AJ16" t="s">
        <v>219</v>
      </c>
      <c r="AK16">
        <f t="shared" ref="AK16" si="28">IF(ISERROR(AQ16),0,AQ16/10)</f>
        <v>0</v>
      </c>
      <c r="AL16" t="b">
        <f t="shared" ref="AL16" si="29">ISERR(AK16)</f>
        <v>0</v>
      </c>
      <c r="AM16" s="3">
        <f t="shared" ref="AM16" si="30">IF(AL16=TRUE,0,AK16)</f>
        <v>0</v>
      </c>
      <c r="AN16" s="33">
        <v>-1500</v>
      </c>
      <c r="AO16" s="61" t="e">
        <f>IF(($M$56+500)&gt;AR16,AR16,"")</f>
        <v>#VALUE!</v>
      </c>
      <c r="AP16" s="61" t="b">
        <f t="shared" si="1"/>
        <v>1</v>
      </c>
      <c r="AQ16" s="43">
        <f t="shared" si="2"/>
        <v>0</v>
      </c>
      <c r="AR16" s="38">
        <f>IF(AW6=TRUE,AU16,IF((AR14+$AZ$12)&gt;$AX$12,"",AR14+$AZ$12))</f>
        <v>3380</v>
      </c>
      <c r="AS16" s="61" t="b">
        <f t="shared" si="3"/>
        <v>0</v>
      </c>
      <c r="AT16" s="43">
        <f t="shared" si="4"/>
        <v>3380</v>
      </c>
      <c r="AU16">
        <v>3380</v>
      </c>
      <c r="AW16" s="60" t="e">
        <f>ROUND(M22,0)</f>
        <v>#VALUE!</v>
      </c>
      <c r="AX16" s="61" t="e">
        <f>IF(AND($AW$16&gt;AQ3,$AW$16&lt;=AQ5),AQ5,0)</f>
        <v>#VALUE!</v>
      </c>
      <c r="AY16" s="167" t="e">
        <f>ROUND(M58,0)</f>
        <v>#VALUE!</v>
      </c>
      <c r="AZ16" s="38" t="e">
        <f>IF(AND($AY$16&gt;AT3,$AY$16&lt;=AT5),AT5,0)</f>
        <v>#VALUE!</v>
      </c>
      <c r="BC16" t="b">
        <f>Tabelle2!B44</f>
        <v>0</v>
      </c>
      <c r="BD16" t="str">
        <f t="shared" si="5"/>
        <v/>
      </c>
      <c r="BE16">
        <v>80</v>
      </c>
      <c r="BK16" s="9"/>
      <c r="BL16" s="4"/>
    </row>
    <row r="17" spans="2:65" x14ac:dyDescent="0.25">
      <c r="B17" t="str">
        <f>B16&amp;" "&amp;Linkauswahl!G40</f>
        <v xml:space="preserve"> FPS DN 1000 </v>
      </c>
      <c r="I17" s="60" t="str">
        <f t="shared" si="11"/>
        <v>34d</v>
      </c>
      <c r="J17">
        <f t="shared" si="17"/>
        <v>3</v>
      </c>
      <c r="K17" s="115" t="s">
        <v>177</v>
      </c>
      <c r="L17" s="61">
        <f t="shared" si="12"/>
        <v>-474</v>
      </c>
      <c r="M17" s="38" t="e">
        <f>VLOOKUP(I17,$O$5:$S$1055,5,0)+D25</f>
        <v>#VALUE!</v>
      </c>
      <c r="O17" t="str">
        <f t="shared" si="6"/>
        <v>14f</v>
      </c>
      <c r="P17">
        <v>1</v>
      </c>
      <c r="Q17" s="115" t="s">
        <v>179</v>
      </c>
      <c r="R17" s="65">
        <v>-176</v>
      </c>
      <c r="S17" s="38">
        <v>820</v>
      </c>
      <c r="T17" s="4"/>
      <c r="V17">
        <v>7</v>
      </c>
      <c r="W17" s="60" t="e">
        <f>W16</f>
        <v>#VALUE!</v>
      </c>
      <c r="X17" s="38" t="e">
        <f>X16</f>
        <v>#VALUE!</v>
      </c>
      <c r="AB17">
        <f>Schachtselector!$E$118</f>
        <v>0</v>
      </c>
      <c r="AC17" s="65">
        <f>L35+150</f>
        <v>650</v>
      </c>
      <c r="AD17" s="67">
        <f>$AD$16</f>
        <v>170</v>
      </c>
      <c r="AJ17" t="str">
        <f>IF($C$9=TRUE,"/3.25","")</f>
        <v>/3.25</v>
      </c>
      <c r="AM17" s="3"/>
      <c r="AN17" s="163">
        <v>-1200</v>
      </c>
      <c r="AO17" s="66" t="e">
        <f>AO16</f>
        <v>#VALUE!</v>
      </c>
      <c r="AP17" s="61" t="b">
        <f t="shared" si="1"/>
        <v>1</v>
      </c>
      <c r="AQ17" s="43">
        <f t="shared" si="2"/>
        <v>0</v>
      </c>
      <c r="AR17" s="67">
        <f>AR16</f>
        <v>3380</v>
      </c>
      <c r="AS17" s="61" t="b">
        <f t="shared" si="3"/>
        <v>0</v>
      </c>
      <c r="AT17" s="43">
        <f t="shared" si="4"/>
        <v>3380</v>
      </c>
      <c r="AW17" s="62"/>
      <c r="AX17" s="9"/>
      <c r="AY17" s="9"/>
      <c r="AZ17" s="63"/>
      <c r="BC17" t="b">
        <f>Tabelle2!B45</f>
        <v>0</v>
      </c>
      <c r="BD17" t="str">
        <f t="shared" si="5"/>
        <v/>
      </c>
      <c r="BE17">
        <v>110</v>
      </c>
      <c r="BI17" s="3" t="e">
        <f>IF(BK20=2,Sprachen!E337&amp;BJ20&amp;" m",Sprachen!E337&amp;BI4-AE5/1000&amp;" m")</f>
        <v>#VALUE!</v>
      </c>
      <c r="BJ17" s="3" t="str">
        <f>IF(BK20=2,"PDL                     S= "&amp;Schachtselector!C184&amp;" M.ü.M.","PDL "&amp;BI4-AE5/1000)</f>
        <v>PDL                     S=  M.ü.M.</v>
      </c>
      <c r="BK17" s="8">
        <f>AC9+100</f>
        <v>728</v>
      </c>
      <c r="BL17" s="2" t="e">
        <f>AD5</f>
        <v>#VALUE!</v>
      </c>
    </row>
    <row r="18" spans="2:65" x14ac:dyDescent="0.25">
      <c r="I18" s="60" t="str">
        <f t="shared" si="11"/>
        <v>34e</v>
      </c>
      <c r="J18">
        <f t="shared" si="17"/>
        <v>3</v>
      </c>
      <c r="K18" s="115" t="s">
        <v>178</v>
      </c>
      <c r="L18" s="61">
        <f t="shared" si="12"/>
        <v>-461.45859034533106</v>
      </c>
      <c r="M18" s="38" t="e">
        <f>VLOOKUP(I18,$O$5:$S$1055,5,0)+D25</f>
        <v>#VALUE!</v>
      </c>
      <c r="O18" t="str">
        <f t="shared" si="6"/>
        <v>15</v>
      </c>
      <c r="P18">
        <v>1</v>
      </c>
      <c r="Q18" s="129">
        <v>5</v>
      </c>
      <c r="R18" s="65">
        <v>-176</v>
      </c>
      <c r="S18" s="38">
        <v>820</v>
      </c>
      <c r="T18" s="4"/>
      <c r="W18" s="65" t="e">
        <f>$W$13</f>
        <v>#VALUE!</v>
      </c>
      <c r="X18" s="67" t="e">
        <f>$X$17</f>
        <v>#VALUE!</v>
      </c>
      <c r="Z18" s="137" t="e">
        <f>AB18&amp;" "&amp;(AA18)</f>
        <v>#VALUE!</v>
      </c>
      <c r="AA18" t="e">
        <f>ROUND(AD18,0)</f>
        <v>#VALUE!</v>
      </c>
      <c r="AB18" s="137" t="str">
        <f>Sprachen!E230</f>
        <v>H VN</v>
      </c>
      <c r="AC18" s="60">
        <f>AC16</f>
        <v>-1000</v>
      </c>
      <c r="AD18" s="38" t="e">
        <f>AB19+AD17</f>
        <v>#VALUE!</v>
      </c>
      <c r="AI18" t="str">
        <f>IFERROR(IF(AO18="","",$AI$2&amp;" "&amp;AO18&amp;AJ19),"")</f>
        <v/>
      </c>
      <c r="AJ18" t="s">
        <v>220</v>
      </c>
      <c r="AK18">
        <f t="shared" ref="AK18" si="31">IF(ISERROR(AQ18),0,AQ18/10)</f>
        <v>0</v>
      </c>
      <c r="AL18" t="b">
        <f t="shared" ref="AL18" si="32">ISERR(AK18)</f>
        <v>0</v>
      </c>
      <c r="AM18" s="3">
        <f t="shared" ref="AM18" si="33">IF(AL18=TRUE,0,AK18)</f>
        <v>0</v>
      </c>
      <c r="AN18" s="33">
        <v>-1500</v>
      </c>
      <c r="AO18" s="61" t="e">
        <f>IF(($M$56+500)&gt;AR18,AR18,"")</f>
        <v>#VALUE!</v>
      </c>
      <c r="AP18" s="61" t="b">
        <f t="shared" si="1"/>
        <v>1</v>
      </c>
      <c r="AQ18" s="43">
        <f t="shared" si="2"/>
        <v>0</v>
      </c>
      <c r="AR18" s="38">
        <f>IF(AW6=TRUE,AU18,IF((AR16+$AZ$12)&gt;$AX$12,"",AR16+$AZ$12))</f>
        <v>3630</v>
      </c>
      <c r="AS18" s="61" t="b">
        <f t="shared" si="3"/>
        <v>0</v>
      </c>
      <c r="AT18" s="43">
        <f t="shared" si="4"/>
        <v>3630</v>
      </c>
      <c r="AU18">
        <v>3630</v>
      </c>
      <c r="AW18" s="62"/>
      <c r="AX18" s="9" t="e">
        <f t="shared" ref="AX18" si="34">IF(AND($AW$16&gt;AQ5,$AW$16&lt;=AQ7),AQ7,0)</f>
        <v>#VALUE!</v>
      </c>
      <c r="AY18" s="9"/>
      <c r="AZ18" s="38" t="e">
        <f t="shared" ref="AZ18" si="35">IF(AND($AY$16&gt;AT5,$AY$16&lt;=AT7),AT7,0)</f>
        <v>#VALUE!</v>
      </c>
      <c r="BB18" t="s">
        <v>72</v>
      </c>
      <c r="BC18">
        <f>Tabelle2!B46</f>
        <v>0</v>
      </c>
      <c r="BD18" t="str">
        <f t="shared" si="5"/>
        <v/>
      </c>
      <c r="BJ18" s="3"/>
      <c r="BK18" s="9">
        <f>BK17</f>
        <v>728</v>
      </c>
      <c r="BL18" s="4" t="e">
        <f>BL17+10</f>
        <v>#VALUE!</v>
      </c>
    </row>
    <row r="19" spans="2:65" ht="15.75" thickBot="1" x14ac:dyDescent="0.3">
      <c r="B19" t="b">
        <f>IF(OR(A8=TRUE,A9=TRUE),TRUE,FALSE)</f>
        <v>1</v>
      </c>
      <c r="I19" s="60" t="str">
        <f t="shared" si="11"/>
        <v>34f</v>
      </c>
      <c r="J19">
        <f t="shared" si="17"/>
        <v>3</v>
      </c>
      <c r="K19" s="115" t="s">
        <v>179</v>
      </c>
      <c r="L19" s="61">
        <f t="shared" si="12"/>
        <v>-448</v>
      </c>
      <c r="M19" s="38" t="e">
        <f>VLOOKUP(I19,$O$5:$S$1055,5,0)+D25</f>
        <v>#VALUE!</v>
      </c>
      <c r="O19" t="str">
        <f t="shared" si="6"/>
        <v>15a</v>
      </c>
      <c r="P19">
        <v>1</v>
      </c>
      <c r="Q19" s="129" t="s">
        <v>139</v>
      </c>
      <c r="R19" s="65">
        <v>-176</v>
      </c>
      <c r="S19" s="121">
        <v>1050</v>
      </c>
      <c r="T19" s="4"/>
      <c r="V19">
        <v>8</v>
      </c>
      <c r="W19" s="60" t="e">
        <f>W18</f>
        <v>#VALUE!</v>
      </c>
      <c r="X19" s="38" t="e">
        <f>X18</f>
        <v>#VALUE!</v>
      </c>
      <c r="AB19" t="e">
        <f>G16</f>
        <v>#VALUE!</v>
      </c>
      <c r="AC19" s="65">
        <f>AC17</f>
        <v>650</v>
      </c>
      <c r="AD19" s="67" t="e">
        <f>$AD$18</f>
        <v>#VALUE!</v>
      </c>
      <c r="AJ19" t="str">
        <f>IF($C$9=TRUE,"/3.5","")</f>
        <v>/3.5</v>
      </c>
      <c r="AM19" s="3"/>
      <c r="AN19" s="163">
        <v>-1200</v>
      </c>
      <c r="AO19" s="66" t="e">
        <f>AO18</f>
        <v>#VALUE!</v>
      </c>
      <c r="AP19" s="61" t="b">
        <f t="shared" si="1"/>
        <v>1</v>
      </c>
      <c r="AQ19" s="43">
        <f t="shared" si="2"/>
        <v>0</v>
      </c>
      <c r="AR19" s="67">
        <f>AR18</f>
        <v>3630</v>
      </c>
      <c r="AS19" s="61" t="b">
        <f t="shared" si="3"/>
        <v>0</v>
      </c>
      <c r="AT19" s="43">
        <f t="shared" si="4"/>
        <v>3630</v>
      </c>
      <c r="AW19" s="62"/>
      <c r="AX19" s="9"/>
      <c r="AY19" s="9"/>
      <c r="AZ19" s="63"/>
      <c r="BC19" t="b">
        <f>Tabelle2!B47</f>
        <v>0</v>
      </c>
      <c r="BD19" t="str">
        <f t="shared" si="5"/>
        <v/>
      </c>
      <c r="BE19">
        <v>90</v>
      </c>
      <c r="BJ19" s="439" t="e">
        <f>IF(BK20=2,$BJ$3-(($BL$4-$BL$17)/1000),$BJ$3-($BL$4-$BL$17))</f>
        <v>#VALUE!</v>
      </c>
      <c r="BK19" s="9"/>
      <c r="BL19" s="6"/>
    </row>
    <row r="20" spans="2:65" x14ac:dyDescent="0.25">
      <c r="I20" s="60" t="str">
        <f t="shared" si="11"/>
        <v>35</v>
      </c>
      <c r="J20">
        <f t="shared" si="17"/>
        <v>3</v>
      </c>
      <c r="K20" s="129">
        <v>5</v>
      </c>
      <c r="L20" s="61">
        <f t="shared" si="12"/>
        <v>-448</v>
      </c>
      <c r="M20" s="38" t="e">
        <f>VLOOKUP(I20,$O$5:$S$1055,5,0)+D25</f>
        <v>#VALUE!</v>
      </c>
      <c r="O20" t="str">
        <f t="shared" si="6"/>
        <v>16</v>
      </c>
      <c r="P20">
        <v>1</v>
      </c>
      <c r="Q20" s="129">
        <v>6</v>
      </c>
      <c r="R20" s="65">
        <v>-176</v>
      </c>
      <c r="S20" s="121">
        <v>1050</v>
      </c>
      <c r="T20" s="4"/>
      <c r="W20" s="65" t="e">
        <f>$W$19</f>
        <v>#VALUE!</v>
      </c>
      <c r="X20" s="67" t="e">
        <f>$X$5</f>
        <v>#VALUE!</v>
      </c>
      <c r="Z20" s="137" t="e">
        <f>AB20&amp;" "&amp;(AA20)</f>
        <v>#VALUE!</v>
      </c>
      <c r="AA20" t="e">
        <f>ROUND(AD20,0)</f>
        <v>#VALUE!</v>
      </c>
      <c r="AB20" s="137" t="str">
        <f>Sprachen!E229</f>
        <v>H Vres</v>
      </c>
      <c r="AC20" s="60">
        <f>AC16</f>
        <v>-1000</v>
      </c>
      <c r="AD20" s="38" t="e">
        <f>AB21+AD19</f>
        <v>#VALUE!</v>
      </c>
      <c r="AI20" t="str">
        <f>IFERROR(IF(AO20="","",$AI$2&amp;" "&amp;AO20&amp;AJ21),"")</f>
        <v/>
      </c>
      <c r="AJ20" t="s">
        <v>221</v>
      </c>
      <c r="AK20">
        <f t="shared" ref="AK20" si="36">AQ20/10</f>
        <v>0</v>
      </c>
      <c r="AL20" t="b">
        <f t="shared" ref="AL20" si="37">ISERR(AK20)</f>
        <v>0</v>
      </c>
      <c r="AM20" s="3">
        <f t="shared" ref="AM20" si="38">IF(AL20=TRUE,0,AK20)</f>
        <v>0</v>
      </c>
      <c r="AN20" s="33">
        <v>-1500</v>
      </c>
      <c r="AO20" s="61" t="e">
        <f>IF(($M$56+500)&gt;AR20,AR20,"")</f>
        <v>#VALUE!</v>
      </c>
      <c r="AP20" s="61" t="b">
        <f t="shared" si="1"/>
        <v>1</v>
      </c>
      <c r="AQ20" s="43">
        <f t="shared" si="2"/>
        <v>0</v>
      </c>
      <c r="AR20" s="38">
        <f>IF(AW6=TRUE,AU20,IF((AR18+$AZ$12)&gt;$AX$12,"",AR18+$AZ$12))</f>
        <v>3880</v>
      </c>
      <c r="AS20" s="61" t="b">
        <f t="shared" si="3"/>
        <v>0</v>
      </c>
      <c r="AT20" s="43">
        <f t="shared" si="4"/>
        <v>3880</v>
      </c>
      <c r="AU20">
        <v>3880</v>
      </c>
      <c r="AW20" s="62"/>
      <c r="AX20" s="9" t="e">
        <f t="shared" ref="AX20" si="39">IF(AND($AW$16&gt;AQ7,$AW$16&lt;=AQ9),AQ9,0)</f>
        <v>#VALUE!</v>
      </c>
      <c r="AY20" s="9"/>
      <c r="AZ20" s="38" t="e">
        <f t="shared" ref="AZ20" si="40">IF(AND($AY$16&gt;AT7,$AY$16&lt;=AT9),AT9,0)</f>
        <v>#VALUE!</v>
      </c>
      <c r="BC20" t="b">
        <f>Tabelle2!B48</f>
        <v>0</v>
      </c>
      <c r="BD20" t="str">
        <f t="shared" si="5"/>
        <v/>
      </c>
      <c r="BE20">
        <v>100</v>
      </c>
      <c r="BI20" t="s">
        <v>1654</v>
      </c>
      <c r="BJ20" s="23" t="e">
        <f>ROUND(BJ21,2)</f>
        <v>#VALUE!</v>
      </c>
      <c r="BK20" s="371">
        <v>2</v>
      </c>
    </row>
    <row r="21" spans="2:65" x14ac:dyDescent="0.25">
      <c r="G21" s="137" t="e">
        <f>Sprachen!E233&amp;"  "&amp;N58</f>
        <v>#VALUE!</v>
      </c>
      <c r="I21" s="60" t="str">
        <f>J21&amp;K21</f>
        <v>35a</v>
      </c>
      <c r="J21">
        <f t="shared" si="17"/>
        <v>3</v>
      </c>
      <c r="K21" s="129" t="s">
        <v>139</v>
      </c>
      <c r="L21" s="61">
        <f t="shared" si="12"/>
        <v>-448</v>
      </c>
      <c r="M21" s="38" t="e">
        <f>VLOOKUP(I21,$O$5:$S$1055,5,0)+D25</f>
        <v>#VALUE!</v>
      </c>
      <c r="O21" t="str">
        <f t="shared" si="6"/>
        <v>16a</v>
      </c>
      <c r="P21">
        <v>1</v>
      </c>
      <c r="Q21" s="129" t="s">
        <v>140</v>
      </c>
      <c r="R21" s="65">
        <v>0</v>
      </c>
      <c r="S21" s="121">
        <v>1050</v>
      </c>
      <c r="T21" s="4"/>
      <c r="V21">
        <v>9</v>
      </c>
      <c r="W21" s="60" t="e">
        <f>W15-25</f>
        <v>#VALUE!</v>
      </c>
      <c r="X21" s="38" t="e">
        <f>X12+70</f>
        <v>#VALUE!</v>
      </c>
      <c r="AB21" t="e">
        <f>H16</f>
        <v>#VALUE!</v>
      </c>
      <c r="AC21" s="65">
        <f>AC17</f>
        <v>650</v>
      </c>
      <c r="AD21" s="67" t="e">
        <f>$AD$20</f>
        <v>#VALUE!</v>
      </c>
      <c r="AJ21" t="str">
        <f>IF($C$9=TRUE,"/3.75","")</f>
        <v>/3.75</v>
      </c>
      <c r="AM21" s="3"/>
      <c r="AN21" s="163">
        <v>-1200</v>
      </c>
      <c r="AO21" s="66" t="e">
        <f>AO20</f>
        <v>#VALUE!</v>
      </c>
      <c r="AP21" s="61" t="b">
        <f t="shared" si="1"/>
        <v>1</v>
      </c>
      <c r="AQ21" s="43">
        <f t="shared" si="2"/>
        <v>0</v>
      </c>
      <c r="AR21" s="67">
        <f>AR20</f>
        <v>3880</v>
      </c>
      <c r="AS21" s="61" t="b">
        <f t="shared" si="3"/>
        <v>0</v>
      </c>
      <c r="AT21" s="43">
        <f t="shared" si="4"/>
        <v>3880</v>
      </c>
      <c r="AW21" s="62"/>
      <c r="AX21" s="9"/>
      <c r="AY21" s="9"/>
      <c r="AZ21" s="63"/>
      <c r="BB21" s="9"/>
      <c r="BC21" t="b">
        <f>Tabelle2!B49</f>
        <v>0</v>
      </c>
      <c r="BD21" t="str">
        <f t="shared" si="5"/>
        <v/>
      </c>
      <c r="BE21">
        <v>130</v>
      </c>
      <c r="BJ21" s="23" t="e">
        <f>IF(SIGN(BJ19)=-1,-BJ19,BJ19)</f>
        <v>#VALUE!</v>
      </c>
    </row>
    <row r="22" spans="2:65" x14ac:dyDescent="0.25">
      <c r="G22" s="137" t="e">
        <f>IF(B19=TRUE,Sprachen!E232&amp;" "&amp;N23,"")</f>
        <v>#VALUE!</v>
      </c>
      <c r="I22" s="60" t="str">
        <f t="shared" si="11"/>
        <v>36</v>
      </c>
      <c r="J22">
        <f t="shared" si="17"/>
        <v>3</v>
      </c>
      <c r="K22" s="129">
        <v>6</v>
      </c>
      <c r="L22" s="61">
        <f t="shared" si="12"/>
        <v>-448</v>
      </c>
      <c r="M22" s="38" t="e">
        <f>VLOOKUP(I22,$O$5:$S$1055,5,0)+D25</f>
        <v>#VALUE!</v>
      </c>
      <c r="O22" t="str">
        <f t="shared" si="6"/>
        <v>17</v>
      </c>
      <c r="P22">
        <v>1</v>
      </c>
      <c r="Q22" s="129">
        <v>7</v>
      </c>
      <c r="R22" s="60">
        <v>0</v>
      </c>
      <c r="S22" s="121">
        <v>1050</v>
      </c>
      <c r="T22" s="4"/>
      <c r="W22" s="65" t="e">
        <f>$W$21</f>
        <v>#VALUE!</v>
      </c>
      <c r="X22" s="67" t="e">
        <f>X18-70</f>
        <v>#VALUE!</v>
      </c>
      <c r="AI22" t="str">
        <f>IFERROR(IF(AO22="","",$AI$2&amp;" "&amp;AO22&amp;AJ23),"")</f>
        <v/>
      </c>
      <c r="AJ22" t="s">
        <v>222</v>
      </c>
      <c r="AK22">
        <f t="shared" ref="AK22" si="41">AQ22/10</f>
        <v>0</v>
      </c>
      <c r="AL22" t="b">
        <f t="shared" ref="AL22" si="42">ISERR(AK22)</f>
        <v>0</v>
      </c>
      <c r="AM22" s="3">
        <f t="shared" ref="AM22" si="43">IF(AL22=TRUE,0,AK22)</f>
        <v>0</v>
      </c>
      <c r="AN22" s="33">
        <v>-1500</v>
      </c>
      <c r="AO22" s="61" t="e">
        <f>IF(($M$56+500)&gt;AR22,AR22,"")</f>
        <v>#VALUE!</v>
      </c>
      <c r="AP22" s="61" t="b">
        <f t="shared" si="1"/>
        <v>1</v>
      </c>
      <c r="AQ22" s="43">
        <f t="shared" si="2"/>
        <v>0</v>
      </c>
      <c r="AR22" s="38">
        <f>IF(AW6=TRUE,AU22,IF((AR20+$AZ$12)&gt;$AX$12,"",AR20+$AZ$12))</f>
        <v>4120</v>
      </c>
      <c r="AS22" s="61" t="b">
        <f t="shared" si="3"/>
        <v>0</v>
      </c>
      <c r="AT22" s="43">
        <f t="shared" si="4"/>
        <v>4120</v>
      </c>
      <c r="AU22">
        <v>4120</v>
      </c>
      <c r="AW22" s="62"/>
      <c r="AX22" s="9" t="e">
        <f t="shared" ref="AX22" si="44">IF(AND($AW$16&gt;AQ9,$AW$16&lt;=AQ11),AQ11,0)</f>
        <v>#VALUE!</v>
      </c>
      <c r="AY22" s="9"/>
      <c r="AZ22" s="38" t="e">
        <f t="shared" ref="AZ22" si="45">IF(AND($AY$16&gt;AT9,$AY$16&lt;=AT11),AT11,0)</f>
        <v>#VALUE!</v>
      </c>
      <c r="BB22" t="s">
        <v>73</v>
      </c>
      <c r="BC22">
        <f>Tabelle2!B50</f>
        <v>0</v>
      </c>
      <c r="BD22" t="str">
        <f t="shared" si="5"/>
        <v/>
      </c>
    </row>
    <row r="23" spans="2:65" x14ac:dyDescent="0.25">
      <c r="I23" s="60" t="str">
        <f t="shared" si="11"/>
        <v>36a</v>
      </c>
      <c r="J23">
        <f t="shared" si="17"/>
        <v>3</v>
      </c>
      <c r="K23" s="129" t="s">
        <v>140</v>
      </c>
      <c r="L23" s="61">
        <f t="shared" si="12"/>
        <v>0</v>
      </c>
      <c r="M23" s="166" t="e">
        <f>VLOOKUP(I23,$O$5:$S$1055,5,0)+D25</f>
        <v>#VALUE!</v>
      </c>
      <c r="N23" s="71" t="e">
        <f>ROUND(M23,0)</f>
        <v>#VALUE!</v>
      </c>
      <c r="O23" t="str">
        <f t="shared" si="6"/>
        <v>17a</v>
      </c>
      <c r="P23">
        <v>1</v>
      </c>
      <c r="Q23" s="129" t="s">
        <v>141</v>
      </c>
      <c r="R23" s="65">
        <v>176</v>
      </c>
      <c r="S23" s="121">
        <v>1050</v>
      </c>
      <c r="T23" s="4"/>
      <c r="V23">
        <v>10</v>
      </c>
      <c r="W23" s="60" t="e">
        <f>$W$22+125</f>
        <v>#VALUE!</v>
      </c>
      <c r="X23" s="38" t="e">
        <f>X5+25</f>
        <v>#VALUE!</v>
      </c>
      <c r="Z23" s="137" t="e">
        <f>AB23&amp;" "&amp;(AA23)</f>
        <v>#VALUE!</v>
      </c>
      <c r="AA23" t="e">
        <f>ROUND(IF(AF25=130,AD23,AD23-110),0)</f>
        <v>#VALUE!</v>
      </c>
      <c r="AB23" s="137" t="str">
        <f>Sprachen!E238</f>
        <v>H Allarme</v>
      </c>
      <c r="AC23" s="60">
        <f>IF(C7=TRUE,L21+50-40,L21+200-40)</f>
        <v>-288</v>
      </c>
      <c r="AD23" s="38" t="e">
        <f>AD18+150+AF25+110</f>
        <v>#VALUE!</v>
      </c>
      <c r="AJ23" t="str">
        <f>IF($C$9=TRUE,"/4.0","")</f>
        <v>/4.0</v>
      </c>
      <c r="AM23" s="3"/>
      <c r="AN23" s="163">
        <v>-1200</v>
      </c>
      <c r="AO23" s="66" t="e">
        <f>AO22</f>
        <v>#VALUE!</v>
      </c>
      <c r="AP23" s="61" t="b">
        <f t="shared" si="1"/>
        <v>1</v>
      </c>
      <c r="AQ23" s="43">
        <f t="shared" si="2"/>
        <v>0</v>
      </c>
      <c r="AR23" s="67">
        <f>AR22</f>
        <v>4120</v>
      </c>
      <c r="AS23" s="61" t="b">
        <f t="shared" si="3"/>
        <v>0</v>
      </c>
      <c r="AT23" s="43">
        <f t="shared" si="4"/>
        <v>4120</v>
      </c>
      <c r="AW23" s="62"/>
      <c r="AX23" s="9"/>
      <c r="AY23" s="9"/>
      <c r="AZ23" s="63"/>
      <c r="BC23" t="b">
        <f>Tabelle2!B51</f>
        <v>0</v>
      </c>
      <c r="BD23" t="str">
        <f t="shared" si="5"/>
        <v/>
      </c>
      <c r="BE23">
        <v>68</v>
      </c>
      <c r="BJ23" t="s">
        <v>950</v>
      </c>
      <c r="BM23" t="s">
        <v>950</v>
      </c>
    </row>
    <row r="24" spans="2:65" ht="15.75" thickBot="1" x14ac:dyDescent="0.3">
      <c r="I24" s="60" t="str">
        <f t="shared" si="11"/>
        <v>37</v>
      </c>
      <c r="J24">
        <f t="shared" si="17"/>
        <v>3</v>
      </c>
      <c r="K24" s="129">
        <v>7</v>
      </c>
      <c r="L24" s="61">
        <f t="shared" si="12"/>
        <v>0</v>
      </c>
      <c r="M24" s="38" t="e">
        <f>VLOOKUP(I24,$O$5:$S$1055,5,0)+D25</f>
        <v>#VALUE!</v>
      </c>
      <c r="O24" t="str">
        <f t="shared" si="6"/>
        <v>18</v>
      </c>
      <c r="P24">
        <v>1</v>
      </c>
      <c r="Q24" s="129">
        <v>8</v>
      </c>
      <c r="R24" s="65">
        <v>176</v>
      </c>
      <c r="S24" s="121">
        <v>1050</v>
      </c>
      <c r="T24" s="4"/>
      <c r="W24" s="65">
        <f>W7-130</f>
        <v>-830</v>
      </c>
      <c r="X24" s="67" t="e">
        <f>$X$23</f>
        <v>#VALUE!</v>
      </c>
      <c r="AC24" s="60">
        <f>IF(C7=TRUE,L21+70,L21+200)</f>
        <v>-248</v>
      </c>
      <c r="AD24" s="67" t="e">
        <f>AD19+150+AF25</f>
        <v>#VALUE!</v>
      </c>
      <c r="AF24" s="28" t="b">
        <f>IF(OR(C12=TRUE,C13=TRUE,C14=TRUE),TRUE,FALSE)</f>
        <v>0</v>
      </c>
      <c r="AI24" t="str">
        <f>IFERROR(IF(AO24="","",$AI$2&amp;" "&amp;AO24&amp;AJ25),"")</f>
        <v/>
      </c>
      <c r="AJ24" t="s">
        <v>223</v>
      </c>
      <c r="AK24">
        <f t="shared" ref="AK24" si="46">AQ24/10</f>
        <v>0</v>
      </c>
      <c r="AL24" t="b">
        <f t="shared" ref="AL24" si="47">ISERR(AK24)</f>
        <v>0</v>
      </c>
      <c r="AM24" s="3">
        <f t="shared" ref="AM24" si="48">IF(AL24=TRUE,0,AK24)</f>
        <v>0</v>
      </c>
      <c r="AN24" s="33">
        <v>-1500</v>
      </c>
      <c r="AO24" s="61" t="e">
        <f>IF(($M$56+500)&gt;AR24,AR24,"")</f>
        <v>#VALUE!</v>
      </c>
      <c r="AP24" s="61" t="b">
        <f t="shared" si="1"/>
        <v>1</v>
      </c>
      <c r="AQ24" s="43">
        <f t="shared" si="2"/>
        <v>0</v>
      </c>
      <c r="AR24" s="38">
        <f>IF(AW6=TRUE,AU24,IF((AR22+$AZ$12)&gt;$AX$12,"",AR22+$AZ$12))</f>
        <v>4370</v>
      </c>
      <c r="AS24" s="61" t="b">
        <f t="shared" si="3"/>
        <v>0</v>
      </c>
      <c r="AT24" s="43">
        <f t="shared" si="4"/>
        <v>4370</v>
      </c>
      <c r="AU24">
        <v>4370</v>
      </c>
      <c r="AW24" s="62"/>
      <c r="AX24" s="9" t="e">
        <f>IF(AND($AW$16&gt;AQ11,$AW$16&lt;=AQ13),AQ13,0)</f>
        <v>#VALUE!</v>
      </c>
      <c r="AY24" s="9"/>
      <c r="AZ24" s="38" t="e">
        <f>IF(AND($AY$16&gt;AT11,$AY$16&lt;=AT13),AT13,0)</f>
        <v>#VALUE!</v>
      </c>
      <c r="BB24" t="s">
        <v>74</v>
      </c>
      <c r="BC24">
        <f>Tabelle2!B52</f>
        <v>0</v>
      </c>
      <c r="BD24" t="str">
        <f t="shared" si="5"/>
        <v/>
      </c>
      <c r="BI24" t="s">
        <v>947</v>
      </c>
      <c r="BJ24" s="23">
        <f>IF(BK20=2,(Schachtselector!E182-Schachtselector!$C$184)*1000,Schachtselector!C184)</f>
        <v>0</v>
      </c>
      <c r="BL24" t="s">
        <v>948</v>
      </c>
      <c r="BM24">
        <f>IF(BK20=2,IF(Schachtselector!E184="",0,(Schachtselector!E182-Schachtselector!E184)*1000),Schachtselector!E184)</f>
        <v>0</v>
      </c>
    </row>
    <row r="25" spans="2:65" ht="15.75" thickBot="1" x14ac:dyDescent="0.3">
      <c r="C25" s="165" t="b">
        <v>0</v>
      </c>
      <c r="D25" s="2">
        <f>IF(C25=TRUE,Schachtselector!C186,0)</f>
        <v>0</v>
      </c>
      <c r="I25" s="60" t="str">
        <f t="shared" si="11"/>
        <v>37a</v>
      </c>
      <c r="J25">
        <f t="shared" si="17"/>
        <v>3</v>
      </c>
      <c r="K25" s="129" t="s">
        <v>141</v>
      </c>
      <c r="L25" s="61">
        <f t="shared" si="12"/>
        <v>152</v>
      </c>
      <c r="M25" s="38" t="e">
        <f>VLOOKUP(I25,$O$5:$S$1055,5,0)+D25</f>
        <v>#VALUE!</v>
      </c>
      <c r="O25" t="str">
        <f t="shared" si="6"/>
        <v>18a</v>
      </c>
      <c r="P25">
        <v>1</v>
      </c>
      <c r="Q25" s="129" t="s">
        <v>142</v>
      </c>
      <c r="R25" s="65">
        <v>176</v>
      </c>
      <c r="S25" s="38">
        <v>820</v>
      </c>
      <c r="T25" s="4"/>
      <c r="AF25" s="28">
        <f>IF(AND(Tabelle2!Q91=TRUE,AF24=TRUE),130,0)</f>
        <v>0</v>
      </c>
      <c r="AJ25" t="str">
        <f>IF($C$9=TRUE,"/4.25","")</f>
        <v>/4.25</v>
      </c>
      <c r="AM25" s="3"/>
      <c r="AN25" s="163">
        <v>-1200</v>
      </c>
      <c r="AO25" s="66" t="e">
        <f>AO24</f>
        <v>#VALUE!</v>
      </c>
      <c r="AP25" s="61" t="b">
        <f t="shared" si="1"/>
        <v>1</v>
      </c>
      <c r="AQ25" s="43">
        <f t="shared" si="2"/>
        <v>0</v>
      </c>
      <c r="AR25" s="67">
        <f>AR24</f>
        <v>4370</v>
      </c>
      <c r="AS25" s="61" t="b">
        <f t="shared" si="3"/>
        <v>0</v>
      </c>
      <c r="AT25" s="43">
        <f t="shared" si="4"/>
        <v>4370</v>
      </c>
      <c r="AW25" s="62"/>
      <c r="AX25" s="9"/>
      <c r="AY25" s="9"/>
      <c r="AZ25" s="63"/>
      <c r="BC25" t="b">
        <f>Tabelle2!B53</f>
        <v>0</v>
      </c>
      <c r="BD25" t="str">
        <f t="shared" si="5"/>
        <v/>
      </c>
      <c r="BE25">
        <v>86</v>
      </c>
      <c r="BI25" t="s">
        <v>951</v>
      </c>
      <c r="BJ25">
        <f>BJ24/10</f>
        <v>0</v>
      </c>
      <c r="BM25">
        <f>BM24/10</f>
        <v>0</v>
      </c>
    </row>
    <row r="26" spans="2:65" x14ac:dyDescent="0.25">
      <c r="D26" s="370"/>
      <c r="I26" s="60" t="str">
        <f t="shared" si="11"/>
        <v>38</v>
      </c>
      <c r="J26">
        <f t="shared" si="17"/>
        <v>3</v>
      </c>
      <c r="K26" s="129">
        <v>8</v>
      </c>
      <c r="L26" s="61">
        <f t="shared" si="12"/>
        <v>152</v>
      </c>
      <c r="M26" s="168" t="e">
        <f>VLOOKUP(I26,$O$5:$S$1055,5,0)+D25</f>
        <v>#VALUE!</v>
      </c>
      <c r="O26" t="str">
        <f t="shared" si="6"/>
        <v>19</v>
      </c>
      <c r="P26">
        <v>1</v>
      </c>
      <c r="Q26" s="129">
        <v>9</v>
      </c>
      <c r="R26" s="65">
        <v>176</v>
      </c>
      <c r="S26" s="38">
        <v>820</v>
      </c>
      <c r="T26" s="4"/>
      <c r="Z26" t="str">
        <f>IF(AF25=0,"",AB26&amp;" "&amp;(AA26))</f>
        <v/>
      </c>
      <c r="AA26" t="str">
        <f>IF(AF25=0,"",ROUND(AD26,0))</f>
        <v/>
      </c>
      <c r="AB26" t="s">
        <v>331</v>
      </c>
      <c r="AC26" s="60" t="str">
        <f>IF(AF25=0,"",L21+300-40)</f>
        <v/>
      </c>
      <c r="AD26" s="38">
        <f>IF(AF25=0,-1000,AD18+AF25+110)</f>
        <v>-1000</v>
      </c>
      <c r="AI26" t="str">
        <f>IFERROR(IF(AO26="","",$AI$2&amp;" "&amp;AO26&amp;AJ27),"")</f>
        <v/>
      </c>
      <c r="AJ26" t="s">
        <v>224</v>
      </c>
      <c r="AK26">
        <f t="shared" ref="AK26" si="49">AQ26/10</f>
        <v>0</v>
      </c>
      <c r="AL26" t="b">
        <f t="shared" ref="AL26" si="50">ISERR(AK26)</f>
        <v>0</v>
      </c>
      <c r="AM26" s="3">
        <f t="shared" ref="AM26" si="51">IF(AL26=TRUE,0,AK26)</f>
        <v>0</v>
      </c>
      <c r="AN26" s="33">
        <v>-1500</v>
      </c>
      <c r="AO26" s="61" t="e">
        <f>IF(($M$56+500)&gt;AR26,AR26,"")</f>
        <v>#VALUE!</v>
      </c>
      <c r="AP26" s="61" t="b">
        <f t="shared" si="1"/>
        <v>1</v>
      </c>
      <c r="AQ26" s="43">
        <f t="shared" si="2"/>
        <v>0</v>
      </c>
      <c r="AR26" s="38">
        <f>IF(AW6=TRUE,AU26,IF((AR24+$AZ$12)&gt;$AX$12,"",AR24+$AZ$12))</f>
        <v>4620</v>
      </c>
      <c r="AS26" s="61" t="b">
        <f t="shared" si="3"/>
        <v>0</v>
      </c>
      <c r="AT26" s="43">
        <f t="shared" si="4"/>
        <v>4620</v>
      </c>
      <c r="AU26">
        <v>4620</v>
      </c>
      <c r="AW26" s="62"/>
      <c r="AX26" s="9" t="e">
        <f t="shared" ref="AX26" si="52">IF(AND($AW$16&gt;AQ13,$AW$16&lt;=AQ15),AQ15,0)</f>
        <v>#VALUE!</v>
      </c>
      <c r="AY26" s="9"/>
      <c r="AZ26" s="38" t="e">
        <f t="shared" ref="AZ26" si="53">IF(AND($AY$16&gt;AT13,$AY$16&lt;=AT15),AT15,0)</f>
        <v>#VALUE!</v>
      </c>
      <c r="BB26" s="50" t="s">
        <v>68</v>
      </c>
      <c r="BC26">
        <f>Tabelle2!B54</f>
        <v>0</v>
      </c>
      <c r="BD26" t="str">
        <f t="shared" si="5"/>
        <v/>
      </c>
      <c r="BI26" t="s">
        <v>168</v>
      </c>
      <c r="BJ26">
        <f>IF(BK20=2,IF(Schachtselector!C186="",0,(Schachtselector!E182-Schachtselector!$C$186)*1000),Schachtselector!C186)</f>
        <v>0</v>
      </c>
      <c r="BL26" t="s">
        <v>949</v>
      </c>
      <c r="BM26">
        <f>IF(BK20=2,IF(Schachtselector!E186="",0,(Schachtselector!E182-Schachtselector!E186)*1000),Schachtselector!E186)</f>
        <v>0</v>
      </c>
    </row>
    <row r="27" spans="2:65" x14ac:dyDescent="0.25">
      <c r="I27" s="60" t="str">
        <f t="shared" si="11"/>
        <v>38a</v>
      </c>
      <c r="J27">
        <f t="shared" si="17"/>
        <v>3</v>
      </c>
      <c r="K27" s="129" t="s">
        <v>142</v>
      </c>
      <c r="L27" s="61">
        <f t="shared" si="12"/>
        <v>152</v>
      </c>
      <c r="M27" s="168" t="e">
        <f>VLOOKUP(I27,$O$5:$S$1055,5,0)+D25</f>
        <v>#VALUE!</v>
      </c>
      <c r="O27" t="str">
        <f t="shared" si="6"/>
        <v>19a</v>
      </c>
      <c r="P27">
        <v>1</v>
      </c>
      <c r="Q27" s="129" t="s">
        <v>143</v>
      </c>
      <c r="R27" s="65">
        <v>176</v>
      </c>
      <c r="S27" s="38">
        <v>820</v>
      </c>
      <c r="T27" s="4"/>
      <c r="AC27" s="60" t="str">
        <f>IF(AF25=0,"",L21+300)</f>
        <v/>
      </c>
      <c r="AD27" s="67">
        <f>IF(AF25=0,-1000,AD19+AF25)</f>
        <v>-1000</v>
      </c>
      <c r="AJ27" t="str">
        <f>IF($C$9=TRUE,"/4.5","")</f>
        <v>/4.5</v>
      </c>
      <c r="AM27" s="3"/>
      <c r="AN27" s="163">
        <v>-1200</v>
      </c>
      <c r="AO27" s="66" t="e">
        <f>AO26</f>
        <v>#VALUE!</v>
      </c>
      <c r="AP27" s="61" t="b">
        <f t="shared" si="1"/>
        <v>1</v>
      </c>
      <c r="AQ27" s="43">
        <f t="shared" si="2"/>
        <v>0</v>
      </c>
      <c r="AR27" s="67">
        <f>AR26</f>
        <v>4620</v>
      </c>
      <c r="AS27" s="61" t="b">
        <f t="shared" si="3"/>
        <v>0</v>
      </c>
      <c r="AT27" s="43">
        <f t="shared" si="4"/>
        <v>4620</v>
      </c>
      <c r="AW27" s="62"/>
      <c r="AX27" s="9"/>
      <c r="AY27" s="9"/>
      <c r="AZ27" s="63"/>
      <c r="BC27" t="b">
        <f>Tabelle2!B55</f>
        <v>0</v>
      </c>
      <c r="BD27" t="str">
        <f t="shared" si="5"/>
        <v/>
      </c>
      <c r="BE27">
        <f>Tabelle2!F55</f>
        <v>0</v>
      </c>
      <c r="BI27" t="s">
        <v>952</v>
      </c>
      <c r="BJ27">
        <f>BJ26/10</f>
        <v>0</v>
      </c>
      <c r="BM27">
        <f>BM26/10</f>
        <v>0</v>
      </c>
    </row>
    <row r="28" spans="2:65" x14ac:dyDescent="0.25">
      <c r="I28" s="60" t="str">
        <f t="shared" si="11"/>
        <v>39</v>
      </c>
      <c r="J28">
        <f t="shared" si="17"/>
        <v>3</v>
      </c>
      <c r="K28" s="129">
        <v>9</v>
      </c>
      <c r="L28" s="61">
        <f t="shared" si="12"/>
        <v>152</v>
      </c>
      <c r="M28" s="126" t="e">
        <f>VLOOKUP(I28,$O$5:$S$1055,5,0)+D25</f>
        <v>#VALUE!</v>
      </c>
      <c r="O28" t="str">
        <f t="shared" si="6"/>
        <v>19b</v>
      </c>
      <c r="P28">
        <v>1</v>
      </c>
      <c r="Q28" s="129" t="s">
        <v>148</v>
      </c>
      <c r="R28" s="65">
        <v>176</v>
      </c>
      <c r="S28" s="38">
        <v>820</v>
      </c>
      <c r="T28" s="4"/>
      <c r="AI28" t="str">
        <f>IFERROR(IF(AO28="","",$AI$2&amp;" "&amp;AO28&amp;AJ29),"")</f>
        <v/>
      </c>
      <c r="AJ28" t="s">
        <v>225</v>
      </c>
      <c r="AK28">
        <f t="shared" ref="AK28" si="54">AQ28/10</f>
        <v>0</v>
      </c>
      <c r="AL28" t="b">
        <f t="shared" ref="AL28" si="55">ISERR(AK28)</f>
        <v>0</v>
      </c>
      <c r="AM28" s="3">
        <f t="shared" ref="AM28" si="56">IF(AL28=TRUE,0,AK28)</f>
        <v>0</v>
      </c>
      <c r="AN28" s="33">
        <v>-1500</v>
      </c>
      <c r="AO28" s="61" t="e">
        <f>IF(($M$56+500)&gt;AR28,AR28,"")</f>
        <v>#VALUE!</v>
      </c>
      <c r="AP28" s="61" t="b">
        <f t="shared" si="1"/>
        <v>1</v>
      </c>
      <c r="AQ28" s="43">
        <f t="shared" si="2"/>
        <v>0</v>
      </c>
      <c r="AR28" s="38">
        <f>IF(AW6=TRUE,AU28,IF((AR26+$AZ$12)&gt;$AX$12,"",AR26+$AZ$12))</f>
        <v>4870</v>
      </c>
      <c r="AS28" s="61" t="b">
        <f t="shared" si="3"/>
        <v>0</v>
      </c>
      <c r="AT28" s="43">
        <f t="shared" si="4"/>
        <v>4870</v>
      </c>
      <c r="AU28">
        <v>4870</v>
      </c>
      <c r="AW28" s="62"/>
      <c r="AX28" s="9" t="e">
        <f t="shared" ref="AX28" si="57">IF(AND($AW$16&gt;AQ15,$AW$16&lt;=AQ17),AQ17,0)</f>
        <v>#VALUE!</v>
      </c>
      <c r="AY28" s="9"/>
      <c r="AZ28" s="38" t="e">
        <f t="shared" ref="AZ28" si="58">IF(AND($AY$16&gt;AT15,$AY$16&lt;=AT17),AT17,0)</f>
        <v>#VALUE!</v>
      </c>
      <c r="BD28">
        <f>SUM(BD3:BD27)</f>
        <v>0</v>
      </c>
    </row>
    <row r="29" spans="2:65" x14ac:dyDescent="0.25">
      <c r="I29" s="60" t="str">
        <f t="shared" si="11"/>
        <v>39a</v>
      </c>
      <c r="J29">
        <f t="shared" si="17"/>
        <v>3</v>
      </c>
      <c r="K29" s="129" t="s">
        <v>143</v>
      </c>
      <c r="L29" s="61">
        <f t="shared" si="12"/>
        <v>242.06902769567722</v>
      </c>
      <c r="M29" s="126" t="e">
        <f>VLOOKUP(I29,$O$5:$S$1055,5,0)+D25</f>
        <v>#VALUE!</v>
      </c>
      <c r="O29" t="str">
        <f t="shared" si="6"/>
        <v>19c</v>
      </c>
      <c r="P29">
        <v>1</v>
      </c>
      <c r="Q29" s="115" t="s">
        <v>180</v>
      </c>
      <c r="R29" s="65">
        <v>176</v>
      </c>
      <c r="S29" s="38">
        <v>820</v>
      </c>
      <c r="T29" s="4"/>
      <c r="Z29" t="s">
        <v>332</v>
      </c>
      <c r="AC29" s="60">
        <f>IF(C7=TRUE,L21+200-40,AC23)</f>
        <v>-288</v>
      </c>
      <c r="AD29" s="38" t="e">
        <f>IF(C7=TRUE,AD30-110,AD30+110)</f>
        <v>#VALUE!</v>
      </c>
      <c r="AJ29" t="str">
        <f>IF($C$9=TRUE,"/4.75","")</f>
        <v>/4.75</v>
      </c>
      <c r="AM29" s="3"/>
      <c r="AN29" s="163">
        <v>-1200</v>
      </c>
      <c r="AO29" s="66" t="e">
        <f>AO28</f>
        <v>#VALUE!</v>
      </c>
      <c r="AP29" s="61" t="b">
        <f t="shared" si="1"/>
        <v>1</v>
      </c>
      <c r="AQ29" s="43">
        <f t="shared" si="2"/>
        <v>0</v>
      </c>
      <c r="AR29" s="67">
        <f>AR28</f>
        <v>4870</v>
      </c>
      <c r="AS29" s="61" t="b">
        <f t="shared" si="3"/>
        <v>0</v>
      </c>
      <c r="AT29" s="43">
        <f t="shared" si="4"/>
        <v>4870</v>
      </c>
      <c r="AW29" s="62"/>
      <c r="AX29" s="9"/>
      <c r="AY29" s="9"/>
      <c r="AZ29" s="63"/>
      <c r="BG29" t="s">
        <v>252</v>
      </c>
    </row>
    <row r="30" spans="2:65" x14ac:dyDescent="0.25">
      <c r="I30" s="60" t="str">
        <f t="shared" si="11"/>
        <v>39b</v>
      </c>
      <c r="J30">
        <f t="shared" si="17"/>
        <v>3</v>
      </c>
      <c r="K30" s="129" t="s">
        <v>148</v>
      </c>
      <c r="L30" s="61">
        <f t="shared" si="12"/>
        <v>326</v>
      </c>
      <c r="M30" s="126" t="e">
        <f>VLOOKUP(I30,$O$5:$S$1055,5,0)+D25</f>
        <v>#VALUE!</v>
      </c>
      <c r="O30" t="str">
        <f t="shared" si="6"/>
        <v>19d</v>
      </c>
      <c r="P30">
        <v>1</v>
      </c>
      <c r="Q30" s="115" t="s">
        <v>181</v>
      </c>
      <c r="R30" s="65">
        <v>176</v>
      </c>
      <c r="S30" s="38">
        <v>820</v>
      </c>
      <c r="T30" s="4"/>
      <c r="AC30" s="60">
        <f>IF(C7=TRUE,L22+160-40,AC24)</f>
        <v>-248</v>
      </c>
      <c r="AD30" s="67" t="e">
        <f>IF(C7=TRUE,AD19+20,AD19)</f>
        <v>#VALUE!</v>
      </c>
      <c r="AI30" t="str">
        <f>IFERROR(IF(AO30="","",$AI$2&amp;" "&amp;AO30&amp;AJ31),"")</f>
        <v/>
      </c>
      <c r="AJ30" t="s">
        <v>226</v>
      </c>
      <c r="AK30">
        <f t="shared" ref="AK30" si="59">AQ30/10</f>
        <v>0</v>
      </c>
      <c r="AL30" t="b">
        <f t="shared" ref="AL30" si="60">ISERR(AK30)</f>
        <v>0</v>
      </c>
      <c r="AM30" s="3">
        <f t="shared" ref="AM30" si="61">IF(AL30=TRUE,0,AK30)</f>
        <v>0</v>
      </c>
      <c r="AN30" s="33">
        <v>-1500</v>
      </c>
      <c r="AO30" s="61" t="e">
        <f>IF(($M$56+500)&gt;AR30,AR30,"")</f>
        <v>#VALUE!</v>
      </c>
      <c r="AP30" s="61" t="b">
        <f t="shared" si="1"/>
        <v>1</v>
      </c>
      <c r="AQ30" s="43">
        <f t="shared" si="2"/>
        <v>0</v>
      </c>
      <c r="AR30" s="38">
        <f>IF(AW6=TRUE,AU30,IF((AR28+$AZ$12)&gt;$AX$12,"",AR28+$AZ$12))</f>
        <v>5100</v>
      </c>
      <c r="AS30" s="61" t="b">
        <f t="shared" si="3"/>
        <v>0</v>
      </c>
      <c r="AT30" s="43">
        <f t="shared" si="4"/>
        <v>5100</v>
      </c>
      <c r="AU30">
        <v>5100</v>
      </c>
      <c r="AW30" s="62"/>
      <c r="AX30" s="9" t="e">
        <f t="shared" ref="AX30" si="62">IF(AND($AW$16&gt;AQ17,$AW$16&lt;=AQ19),AQ19,0)</f>
        <v>#VALUE!</v>
      </c>
      <c r="AY30" s="9"/>
      <c r="AZ30" s="38" t="e">
        <f t="shared" ref="AZ30" si="63">IF(AND($AY$16&gt;AT17,$AY$16&lt;=AT19),AT19,0)</f>
        <v>#VALUE!</v>
      </c>
      <c r="BD30" t="s">
        <v>209</v>
      </c>
      <c r="BE30" t="s">
        <v>206</v>
      </c>
      <c r="BG30" t="b">
        <f>Tabelle2!Q91</f>
        <v>0</v>
      </c>
    </row>
    <row r="31" spans="2:65" x14ac:dyDescent="0.25">
      <c r="I31" s="60" t="str">
        <f t="shared" si="11"/>
        <v>39c</v>
      </c>
      <c r="J31">
        <f t="shared" si="17"/>
        <v>3</v>
      </c>
      <c r="K31" s="115" t="s">
        <v>180</v>
      </c>
      <c r="L31" s="61">
        <f t="shared" si="12"/>
        <v>398.07315985291859</v>
      </c>
      <c r="M31" s="126" t="e">
        <f>VLOOKUP(I31,$O$5:$S$1055,5,0)+D25</f>
        <v>#VALUE!</v>
      </c>
      <c r="O31" t="str">
        <f t="shared" si="6"/>
        <v>19e</v>
      </c>
      <c r="P31">
        <v>1</v>
      </c>
      <c r="Q31" s="115" t="s">
        <v>182</v>
      </c>
      <c r="R31" s="65">
        <v>176</v>
      </c>
      <c r="S31" s="38">
        <v>820</v>
      </c>
      <c r="T31" s="4"/>
      <c r="Z31" t="s">
        <v>333</v>
      </c>
      <c r="AC31" s="60">
        <f>IF(C7=TRUE,"",L21+300-40)</f>
        <v>-188</v>
      </c>
      <c r="AD31" s="38">
        <f>IF(C7=TRUE,-1000,AD32+110)</f>
        <v>280</v>
      </c>
      <c r="AJ31" t="str">
        <f>IF($C$9=TRUE,"/5.0","")</f>
        <v>/5.0</v>
      </c>
      <c r="AM31" s="3"/>
      <c r="AN31" s="163">
        <v>-1200</v>
      </c>
      <c r="AO31" s="66" t="e">
        <f>AO30</f>
        <v>#VALUE!</v>
      </c>
      <c r="AP31" s="61" t="b">
        <f t="shared" si="1"/>
        <v>1</v>
      </c>
      <c r="AQ31" s="43">
        <f t="shared" si="2"/>
        <v>0</v>
      </c>
      <c r="AR31" s="67">
        <f>AR30</f>
        <v>5100</v>
      </c>
      <c r="AS31" s="61" t="b">
        <f t="shared" si="3"/>
        <v>0</v>
      </c>
      <c r="AT31" s="43">
        <f t="shared" si="4"/>
        <v>5100</v>
      </c>
      <c r="AW31" s="62"/>
      <c r="AX31" s="9"/>
      <c r="AY31" s="9"/>
      <c r="AZ31" s="63"/>
      <c r="BC31" t="s">
        <v>246</v>
      </c>
      <c r="BD31" s="60">
        <f>IF(BG30=TRUE,BI31,BG31)</f>
        <v>-218</v>
      </c>
      <c r="BE31" s="38">
        <f>BD28*10</f>
        <v>0</v>
      </c>
      <c r="BF31" t="s">
        <v>246</v>
      </c>
      <c r="BG31" s="60">
        <f>L75+(D15/2)-70</f>
        <v>-218</v>
      </c>
      <c r="BH31" t="s">
        <v>246</v>
      </c>
      <c r="BI31" s="60">
        <f t="shared" ref="BI31:BI36" si="64">BG31</f>
        <v>-218</v>
      </c>
      <c r="BJ31" t="s">
        <v>247</v>
      </c>
      <c r="BK31" s="60" t="e">
        <f>L79-(D15/2)-70</f>
        <v>#N/A</v>
      </c>
    </row>
    <row r="32" spans="2:65" x14ac:dyDescent="0.25">
      <c r="I32" s="60" t="str">
        <f t="shared" si="11"/>
        <v>39d</v>
      </c>
      <c r="J32">
        <f t="shared" si="17"/>
        <v>3</v>
      </c>
      <c r="K32" s="115" t="s">
        <v>181</v>
      </c>
      <c r="L32" s="61">
        <f t="shared" si="12"/>
        <v>453.37684051698466</v>
      </c>
      <c r="M32" s="126" t="e">
        <f>VLOOKUP(I32,$O$5:$S$1055,5,0)+D25</f>
        <v>#VALUE!</v>
      </c>
      <c r="O32" t="str">
        <f t="shared" si="6"/>
        <v>19f</v>
      </c>
      <c r="P32">
        <v>1</v>
      </c>
      <c r="Q32" s="115" t="s">
        <v>183</v>
      </c>
      <c r="R32" s="65">
        <v>176</v>
      </c>
      <c r="S32" s="38">
        <v>820</v>
      </c>
      <c r="T32" s="4"/>
      <c r="AC32" s="65">
        <f>IF(C7=TRUE,"",L21+300)</f>
        <v>-148</v>
      </c>
      <c r="AD32" s="67">
        <f>IF(C7=TRUE,-1000,AD17)</f>
        <v>170</v>
      </c>
      <c r="AI32" t="str">
        <f>IFERROR(IF(AO32="","",$AI$2&amp;" "&amp;AO32&amp;AJ33),"")</f>
        <v/>
      </c>
      <c r="AJ32" t="s">
        <v>227</v>
      </c>
      <c r="AK32">
        <f t="shared" ref="AK32" si="65">AQ32/10</f>
        <v>0</v>
      </c>
      <c r="AL32" t="b">
        <f t="shared" ref="AL32" si="66">ISERR(AK32)</f>
        <v>0</v>
      </c>
      <c r="AM32" s="3">
        <f t="shared" ref="AM32" si="67">IF(AL32=TRUE,0,AK32)</f>
        <v>0</v>
      </c>
      <c r="AN32" s="33">
        <v>-1500</v>
      </c>
      <c r="AO32" s="61" t="e">
        <f>IF(($M$56+500)&gt;AR32,AR32,"")</f>
        <v>#VALUE!</v>
      </c>
      <c r="AP32" s="61" t="b">
        <f t="shared" si="1"/>
        <v>1</v>
      </c>
      <c r="AQ32" s="43">
        <f t="shared" si="2"/>
        <v>0</v>
      </c>
      <c r="AR32" s="38">
        <f>IF(AW6=TRUE,AU32,IF((AR30+$AZ$12)&gt;$AX$12,"",AR30+$AZ$12))</f>
        <v>5350</v>
      </c>
      <c r="AS32" s="61" t="b">
        <f t="shared" si="3"/>
        <v>0</v>
      </c>
      <c r="AT32" s="43">
        <f t="shared" si="4"/>
        <v>5350</v>
      </c>
      <c r="AU32">
        <v>5350</v>
      </c>
      <c r="AW32" s="62"/>
      <c r="AX32" s="9" t="e">
        <f t="shared" ref="AX32" si="68">IF(AND($AW$16&gt;AQ19,$AW$16&lt;=AQ21),AQ21,0)</f>
        <v>#VALUE!</v>
      </c>
      <c r="AY32" s="9"/>
      <c r="AZ32" s="38" t="e">
        <f t="shared" ref="AZ32" si="69">IF(AND($AY$16&gt;AT19,$AY$16&lt;=AT21),AT21,0)</f>
        <v>#VALUE!</v>
      </c>
      <c r="BD32" s="60">
        <f>IF(BG30=TRUE,BI32,BG32)</f>
        <v>-78</v>
      </c>
      <c r="BE32" s="63">
        <f>BE31</f>
        <v>0</v>
      </c>
      <c r="BG32" s="60">
        <f>L77-(D15/2)+70</f>
        <v>-78</v>
      </c>
      <c r="BI32" s="60">
        <f t="shared" si="64"/>
        <v>-78</v>
      </c>
      <c r="BK32" s="62" t="e">
        <f>L80-(D15/2)+70</f>
        <v>#N/A</v>
      </c>
    </row>
    <row r="33" spans="2:63" x14ac:dyDescent="0.25">
      <c r="I33" s="60" t="str">
        <f t="shared" si="11"/>
        <v>39e</v>
      </c>
      <c r="J33">
        <f t="shared" si="17"/>
        <v>3</v>
      </c>
      <c r="K33" s="115" t="s">
        <v>182</v>
      </c>
      <c r="L33" s="61">
        <f t="shared" si="12"/>
        <v>488.14218754859576</v>
      </c>
      <c r="M33" s="126" t="e">
        <f>VLOOKUP(I33,$O$5:$S$1055,5,0)+D25</f>
        <v>#VALUE!</v>
      </c>
      <c r="O33" t="str">
        <f t="shared" si="6"/>
        <v>110</v>
      </c>
      <c r="P33">
        <v>1</v>
      </c>
      <c r="Q33" s="129">
        <v>10</v>
      </c>
      <c r="R33" s="65">
        <v>176</v>
      </c>
      <c r="S33" s="38">
        <v>820</v>
      </c>
      <c r="T33" s="4"/>
      <c r="AJ33" t="str">
        <f>IF($C$9=TRUE,"/5.25","")</f>
        <v>/5.25</v>
      </c>
      <c r="AM33" s="3"/>
      <c r="AN33" s="163">
        <v>-1200</v>
      </c>
      <c r="AO33" s="66" t="e">
        <f>AO32</f>
        <v>#VALUE!</v>
      </c>
      <c r="AP33" s="61" t="b">
        <f t="shared" si="1"/>
        <v>1</v>
      </c>
      <c r="AQ33" s="43">
        <f t="shared" si="2"/>
        <v>0</v>
      </c>
      <c r="AR33" s="67">
        <f>AR32</f>
        <v>5350</v>
      </c>
      <c r="AS33" s="61" t="b">
        <f t="shared" si="3"/>
        <v>0</v>
      </c>
      <c r="AT33" s="43">
        <f t="shared" si="4"/>
        <v>5350</v>
      </c>
      <c r="AW33" s="62"/>
      <c r="AX33" s="9"/>
      <c r="AY33" s="9"/>
      <c r="AZ33" s="63"/>
      <c r="BC33" t="s">
        <v>248</v>
      </c>
      <c r="BD33" s="60">
        <f>IF(BG30=TRUE,BI33,BG33)</f>
        <v>-218</v>
      </c>
      <c r="BE33" s="38">
        <f>BE31</f>
        <v>0</v>
      </c>
      <c r="BF33" t="s">
        <v>248</v>
      </c>
      <c r="BG33" s="60">
        <f>BG31</f>
        <v>-218</v>
      </c>
      <c r="BH33" t="s">
        <v>248</v>
      </c>
      <c r="BI33" s="60">
        <f t="shared" si="64"/>
        <v>-218</v>
      </c>
      <c r="BJ33" t="s">
        <v>253</v>
      </c>
      <c r="BK33" s="60" t="e">
        <f>BK31</f>
        <v>#N/A</v>
      </c>
    </row>
    <row r="34" spans="2:63" x14ac:dyDescent="0.25">
      <c r="I34" s="60" t="str">
        <f t="shared" si="11"/>
        <v>39f</v>
      </c>
      <c r="J34">
        <f t="shared" si="17"/>
        <v>3</v>
      </c>
      <c r="K34" s="115" t="s">
        <v>183</v>
      </c>
      <c r="L34" s="61">
        <f t="shared" si="12"/>
        <v>500</v>
      </c>
      <c r="M34" s="126" t="e">
        <f>VLOOKUP(I34,$O$5:$S$1055,5,0)+D25</f>
        <v>#VALUE!</v>
      </c>
      <c r="O34" t="str">
        <f t="shared" si="6"/>
        <v>110a</v>
      </c>
      <c r="P34">
        <v>1</v>
      </c>
      <c r="Q34" s="129" t="s">
        <v>144</v>
      </c>
      <c r="R34" s="65">
        <v>295.7</v>
      </c>
      <c r="S34" s="38">
        <v>820</v>
      </c>
      <c r="T34" s="4"/>
      <c r="AI34" t="str">
        <f>IFERROR(IF(AO34="","",$AI$2&amp;" "&amp;AO34&amp;AJ35),"")</f>
        <v/>
      </c>
      <c r="AJ34" t="s">
        <v>228</v>
      </c>
      <c r="AK34">
        <f t="shared" ref="AK34" si="70">AQ34/10</f>
        <v>0</v>
      </c>
      <c r="AL34" t="b">
        <f t="shared" ref="AL34" si="71">ISERR(AK34)</f>
        <v>0</v>
      </c>
      <c r="AM34" s="3">
        <f t="shared" ref="AM34" si="72">IF(AL34=TRUE,0,AK34)</f>
        <v>0</v>
      </c>
      <c r="AN34" s="33">
        <v>-1500</v>
      </c>
      <c r="AO34" s="61" t="e">
        <f>IF(($M$56+500)&gt;AR34,AR34,"")</f>
        <v>#VALUE!</v>
      </c>
      <c r="AP34" s="61" t="b">
        <f t="shared" si="1"/>
        <v>1</v>
      </c>
      <c r="AQ34" s="43">
        <f t="shared" si="2"/>
        <v>0</v>
      </c>
      <c r="AR34" s="38">
        <f>IF(AW6=TRUE,AU34,IF((AR32+$AZ$12)&gt;$AX$12,"",AR32+$AZ$12))</f>
        <v>5600</v>
      </c>
      <c r="AS34" s="61" t="b">
        <f t="shared" si="3"/>
        <v>0</v>
      </c>
      <c r="AT34" s="43">
        <f t="shared" si="4"/>
        <v>5600</v>
      </c>
      <c r="AU34">
        <v>5600</v>
      </c>
      <c r="AW34" s="62"/>
      <c r="AX34" s="9" t="e">
        <f t="shared" ref="AX34" si="73">IF(AND($AW$16&gt;AQ21,$AW$16&lt;=AQ23),AQ23,0)</f>
        <v>#VALUE!</v>
      </c>
      <c r="AY34" s="9"/>
      <c r="AZ34" s="38" t="e">
        <f t="shared" ref="AZ34" si="74">IF(AND($AY$16&gt;AT21,$AY$16&lt;=AT23),AT23,0)</f>
        <v>#VALUE!</v>
      </c>
      <c r="BD34" s="60">
        <f>IF(BG30=TRUE,BI34,BG34)</f>
        <v>-238</v>
      </c>
      <c r="BE34" s="67">
        <f>BE33-50</f>
        <v>-50</v>
      </c>
      <c r="BG34" s="65">
        <f>BG33-20</f>
        <v>-238</v>
      </c>
      <c r="BI34" s="60">
        <f t="shared" si="64"/>
        <v>-238</v>
      </c>
      <c r="BK34" s="65" t="e">
        <f>BK33-20</f>
        <v>#N/A</v>
      </c>
    </row>
    <row r="35" spans="2:63" x14ac:dyDescent="0.25">
      <c r="I35" s="60" t="str">
        <f t="shared" si="11"/>
        <v>310</v>
      </c>
      <c r="J35">
        <f t="shared" si="17"/>
        <v>3</v>
      </c>
      <c r="K35" s="129">
        <v>10</v>
      </c>
      <c r="L35" s="61">
        <f t="shared" si="12"/>
        <v>500</v>
      </c>
      <c r="M35" s="38" t="e">
        <f>VLOOKUP(I35,$O$5:$S$1055,5,0)+D25</f>
        <v>#VALUE!</v>
      </c>
      <c r="O35" t="str">
        <f t="shared" si="6"/>
        <v>111</v>
      </c>
      <c r="P35">
        <v>1</v>
      </c>
      <c r="Q35" s="129">
        <v>11</v>
      </c>
      <c r="R35" s="65">
        <v>295.7</v>
      </c>
      <c r="S35" s="38">
        <v>820</v>
      </c>
      <c r="T35" s="4"/>
      <c r="AJ35" t="str">
        <f>IF($C$9=TRUE,"/5.5","")</f>
        <v>/5.5</v>
      </c>
      <c r="AM35" s="3"/>
      <c r="AN35" s="163">
        <v>-1200</v>
      </c>
      <c r="AO35" s="66" t="e">
        <f>AO34</f>
        <v>#VALUE!</v>
      </c>
      <c r="AP35" s="61" t="b">
        <f t="shared" si="1"/>
        <v>1</v>
      </c>
      <c r="AQ35" s="43">
        <f t="shared" si="2"/>
        <v>0</v>
      </c>
      <c r="AR35" s="67">
        <f>AR34</f>
        <v>5600</v>
      </c>
      <c r="AS35" s="61" t="b">
        <f t="shared" si="3"/>
        <v>0</v>
      </c>
      <c r="AT35" s="43">
        <f t="shared" si="4"/>
        <v>5600</v>
      </c>
      <c r="AW35" s="62"/>
      <c r="AX35" s="9"/>
      <c r="AY35" s="9"/>
      <c r="AZ35" s="63"/>
      <c r="BC35" t="s">
        <v>249</v>
      </c>
      <c r="BD35" s="60">
        <f>IF(BG30=TRUE,BI35,BG35)</f>
        <v>-78</v>
      </c>
      <c r="BE35" s="63">
        <f>BE33</f>
        <v>0</v>
      </c>
      <c r="BF35" t="s">
        <v>249</v>
      </c>
      <c r="BG35" s="62">
        <f>$BG$32</f>
        <v>-78</v>
      </c>
      <c r="BH35" t="s">
        <v>249</v>
      </c>
      <c r="BI35" s="60">
        <f t="shared" si="64"/>
        <v>-78</v>
      </c>
      <c r="BJ35" t="s">
        <v>251</v>
      </c>
      <c r="BK35" s="62" t="e">
        <f>$BK$32</f>
        <v>#N/A</v>
      </c>
    </row>
    <row r="36" spans="2:63" x14ac:dyDescent="0.25">
      <c r="I36" s="60" t="str">
        <f t="shared" si="11"/>
        <v>310a</v>
      </c>
      <c r="J36">
        <f t="shared" si="17"/>
        <v>3</v>
      </c>
      <c r="K36" s="129" t="s">
        <v>144</v>
      </c>
      <c r="L36" s="61">
        <f t="shared" si="12"/>
        <v>500</v>
      </c>
      <c r="M36" s="38" t="e">
        <f>VLOOKUP(I36,$O$5:$S$1055,5,0)</f>
        <v>#VALUE!</v>
      </c>
      <c r="O36" t="str">
        <f t="shared" si="6"/>
        <v>111a</v>
      </c>
      <c r="P36">
        <v>1</v>
      </c>
      <c r="Q36" s="129" t="s">
        <v>145</v>
      </c>
      <c r="R36" s="65">
        <v>295.7</v>
      </c>
      <c r="S36" s="67">
        <v>30</v>
      </c>
      <c r="T36" s="4"/>
      <c r="AI36" t="str">
        <f>IFERROR(IF(AO36="","",$AI$2&amp;" "&amp;AO36&amp;AJ37),"")</f>
        <v/>
      </c>
      <c r="AJ36" t="s">
        <v>229</v>
      </c>
      <c r="AK36">
        <f t="shared" ref="AK36" si="75">AQ36/10</f>
        <v>0</v>
      </c>
      <c r="AL36" t="b">
        <f t="shared" ref="AL36" si="76">ISERR(AK36)</f>
        <v>0</v>
      </c>
      <c r="AM36" s="3">
        <f t="shared" ref="AM36" si="77">IF(AL36=TRUE,0,AK36)</f>
        <v>0</v>
      </c>
      <c r="AN36" s="33">
        <v>-1500</v>
      </c>
      <c r="AO36" s="61" t="e">
        <f>IF(($M$56+500)&gt;AR36,AR36,"")</f>
        <v>#VALUE!</v>
      </c>
      <c r="AP36" s="61" t="b">
        <f t="shared" si="1"/>
        <v>1</v>
      </c>
      <c r="AQ36" s="43">
        <f t="shared" si="2"/>
        <v>0</v>
      </c>
      <c r="AR36" s="38" t="str">
        <f>IF((AR34+$AZ$12)&gt;$AX$12,"",AR34+$AZ$12)</f>
        <v/>
      </c>
      <c r="AS36" s="61" t="b">
        <f t="shared" si="3"/>
        <v>0</v>
      </c>
      <c r="AT36" s="43" t="str">
        <f t="shared" si="4"/>
        <v/>
      </c>
      <c r="AW36" s="62"/>
      <c r="AX36" s="9" t="e">
        <f t="shared" ref="AX36" si="78">IF(AND($AW$16&gt;AQ23,$AW$16&lt;=AQ25),AQ25,0)</f>
        <v>#VALUE!</v>
      </c>
      <c r="AY36" s="9"/>
      <c r="AZ36" s="38" t="e">
        <f t="shared" ref="AZ36" si="79">IF(AND($AY$16&gt;AT23,$AY$16&lt;=AT25),AT25,0)</f>
        <v>#VALUE!</v>
      </c>
      <c r="BD36" s="60">
        <f>IF(BG30=TRUE,BI36,BG36)</f>
        <v>-58</v>
      </c>
      <c r="BE36" s="67">
        <f>BE35-50</f>
        <v>-50</v>
      </c>
      <c r="BG36" s="65">
        <f>BG35+20</f>
        <v>-58</v>
      </c>
      <c r="BI36" s="60">
        <f t="shared" si="64"/>
        <v>-58</v>
      </c>
      <c r="BK36" s="65" t="e">
        <f>BK35+20</f>
        <v>#N/A</v>
      </c>
    </row>
    <row r="37" spans="2:63" x14ac:dyDescent="0.25">
      <c r="I37" s="60" t="str">
        <f t="shared" si="11"/>
        <v>311</v>
      </c>
      <c r="J37">
        <f t="shared" si="17"/>
        <v>3</v>
      </c>
      <c r="K37" s="129">
        <v>11</v>
      </c>
      <c r="L37" s="61">
        <f t="shared" si="12"/>
        <v>500</v>
      </c>
      <c r="M37" s="38" t="e">
        <f>VLOOKUP(I37,$O$5:$S$1055,5,0)</f>
        <v>#VALUE!</v>
      </c>
      <c r="O37" t="str">
        <f t="shared" si="6"/>
        <v>112</v>
      </c>
      <c r="P37">
        <v>1</v>
      </c>
      <c r="Q37" s="129">
        <v>12</v>
      </c>
      <c r="R37" s="65">
        <v>295.7</v>
      </c>
      <c r="S37" s="67">
        <v>30</v>
      </c>
      <c r="T37" s="4"/>
      <c r="AJ37" t="str">
        <f>IF($C$9=TRUE,"/5.75","")</f>
        <v>/5.75</v>
      </c>
      <c r="AM37" s="3"/>
      <c r="AN37" s="163">
        <v>-1200</v>
      </c>
      <c r="AO37" s="66" t="e">
        <f>AO36</f>
        <v>#VALUE!</v>
      </c>
      <c r="AP37" s="61" t="b">
        <f t="shared" si="1"/>
        <v>1</v>
      </c>
      <c r="AQ37" s="43">
        <f t="shared" si="2"/>
        <v>0</v>
      </c>
      <c r="AR37" s="67" t="str">
        <f>AR36</f>
        <v/>
      </c>
      <c r="AS37" s="61" t="b">
        <f t="shared" si="3"/>
        <v>0</v>
      </c>
      <c r="AT37" s="43" t="str">
        <f t="shared" si="4"/>
        <v/>
      </c>
      <c r="AW37" s="62"/>
      <c r="AX37" s="9"/>
      <c r="AY37" s="9"/>
      <c r="AZ37" s="63"/>
    </row>
    <row r="38" spans="2:63" ht="15.75" thickBot="1" x14ac:dyDescent="0.3">
      <c r="B38" t="s">
        <v>172</v>
      </c>
      <c r="I38" s="60" t="str">
        <f t="shared" si="11"/>
        <v>311a</v>
      </c>
      <c r="J38">
        <f t="shared" si="17"/>
        <v>3</v>
      </c>
      <c r="K38" s="129" t="s">
        <v>145</v>
      </c>
      <c r="L38" s="61">
        <f t="shared" si="12"/>
        <v>500</v>
      </c>
      <c r="M38" s="38">
        <f t="shared" si="13"/>
        <v>170</v>
      </c>
      <c r="O38" t="str">
        <f t="shared" si="6"/>
        <v>112a</v>
      </c>
      <c r="P38">
        <v>1</v>
      </c>
      <c r="Q38" s="129" t="s">
        <v>146</v>
      </c>
      <c r="R38" s="116">
        <v>0</v>
      </c>
      <c r="S38" s="67">
        <v>30</v>
      </c>
      <c r="T38" s="4"/>
      <c r="AI38" t="str">
        <f t="shared" ref="AI38" si="80">IFERROR(IF(AO38="","",$AI$2&amp;" "&amp;AO38),"")</f>
        <v/>
      </c>
      <c r="AJ38" t="s">
        <v>230</v>
      </c>
      <c r="AK38">
        <f t="shared" ref="AK38" si="81">AQ38/10</f>
        <v>0</v>
      </c>
      <c r="AL38" t="b">
        <f t="shared" ref="AL38" si="82">ISERR(AK38)</f>
        <v>0</v>
      </c>
      <c r="AM38" s="3">
        <f t="shared" ref="AM38" si="83">IF(AL38=TRUE,0,AK38)</f>
        <v>0</v>
      </c>
      <c r="AN38" s="33">
        <v>-1500</v>
      </c>
      <c r="AO38" s="61" t="e">
        <f>IF(($M$56+500)&gt;AR38,AR38,"")</f>
        <v>#VALUE!</v>
      </c>
      <c r="AP38" s="61" t="b">
        <f t="shared" si="1"/>
        <v>1</v>
      </c>
      <c r="AQ38" s="43">
        <f>IF(AP38=TRUE,0,AO38)</f>
        <v>0</v>
      </c>
      <c r="AR38" s="38" t="e">
        <f>IF((AR36+$AZ$12)&gt;$AX$12,"",AR36+$AZ$12)</f>
        <v>#VALUE!</v>
      </c>
      <c r="AS38" s="61" t="b">
        <f t="shared" si="3"/>
        <v>1</v>
      </c>
      <c r="AT38" s="43">
        <f t="shared" si="4"/>
        <v>0</v>
      </c>
      <c r="AW38" s="62"/>
      <c r="AX38" s="9" t="e">
        <f t="shared" ref="AX38" si="84">IF(AND($AW$16&gt;AQ25,$AW$16&lt;=AQ27),AQ27,0)</f>
        <v>#VALUE!</v>
      </c>
      <c r="AY38" s="9"/>
      <c r="AZ38" s="38" t="e">
        <f t="shared" ref="AZ38" si="85">IF(AND($AY$16&gt;AT25,$AY$16&lt;=AT27),AT27,0)</f>
        <v>#VALUE!</v>
      </c>
      <c r="BG38" t="s">
        <v>340</v>
      </c>
    </row>
    <row r="39" spans="2:63" x14ac:dyDescent="0.25">
      <c r="B39" t="s">
        <v>170</v>
      </c>
      <c r="I39" s="60" t="str">
        <f t="shared" si="11"/>
        <v>312</v>
      </c>
      <c r="J39">
        <f t="shared" si="17"/>
        <v>3</v>
      </c>
      <c r="K39" s="129">
        <v>12</v>
      </c>
      <c r="L39" s="61">
        <f>VLOOKUP(I39,$O$5:$S$1055,4,0)</f>
        <v>500</v>
      </c>
      <c r="M39" s="38">
        <f t="shared" si="13"/>
        <v>170</v>
      </c>
      <c r="O39" t="str">
        <f t="shared" si="6"/>
        <v>113</v>
      </c>
      <c r="P39">
        <v>1</v>
      </c>
      <c r="Q39" s="129">
        <v>13</v>
      </c>
      <c r="R39" s="62">
        <v>0</v>
      </c>
      <c r="S39" s="63">
        <v>0</v>
      </c>
      <c r="T39" s="4" t="s">
        <v>164</v>
      </c>
      <c r="AM39" s="3"/>
      <c r="AN39" s="163">
        <v>-1200</v>
      </c>
      <c r="AO39" s="66" t="e">
        <f>AO38</f>
        <v>#VALUE!</v>
      </c>
      <c r="AP39" s="61" t="b">
        <f t="shared" si="1"/>
        <v>1</v>
      </c>
      <c r="AQ39" s="43">
        <f t="shared" si="2"/>
        <v>0</v>
      </c>
      <c r="AR39" s="67" t="e">
        <f>AR38</f>
        <v>#VALUE!</v>
      </c>
      <c r="AS39" s="61" t="b">
        <f t="shared" si="3"/>
        <v>1</v>
      </c>
      <c r="AT39" s="43">
        <f t="shared" si="4"/>
        <v>0</v>
      </c>
      <c r="AW39" s="62"/>
      <c r="AX39" s="9"/>
      <c r="AY39" s="9"/>
      <c r="AZ39" s="63"/>
      <c r="BC39" t="s">
        <v>247</v>
      </c>
      <c r="BD39" s="60" t="str">
        <f>IF(BG30=TRUE,BK31,"")</f>
        <v/>
      </c>
      <c r="BE39" s="38" t="str">
        <f>IF($BG$30=TRUE,$BE$31,"")</f>
        <v/>
      </c>
      <c r="BG39" s="60" t="e">
        <f>IF(BG42=TRUE,"H min. Seg "&amp;BI43,"")</f>
        <v>#VALUE!</v>
      </c>
      <c r="BH39" s="61"/>
      <c r="BI39" s="38"/>
    </row>
    <row r="40" spans="2:63" x14ac:dyDescent="0.25">
      <c r="B40" s="71" t="e">
        <f>Schachtselector!$F$126</f>
        <v>#VALUE!</v>
      </c>
      <c r="I40" s="60" t="str">
        <f t="shared" si="11"/>
        <v>312a</v>
      </c>
      <c r="J40">
        <f t="shared" si="17"/>
        <v>3</v>
      </c>
      <c r="K40" s="129" t="s">
        <v>146</v>
      </c>
      <c r="L40" s="61">
        <f t="shared" si="12"/>
        <v>0</v>
      </c>
      <c r="M40" s="38">
        <f t="shared" si="13"/>
        <v>170</v>
      </c>
      <c r="O40" t="str">
        <f t="shared" si="6"/>
        <v>113a</v>
      </c>
      <c r="P40">
        <v>1</v>
      </c>
      <c r="Q40" s="129" t="s">
        <v>149</v>
      </c>
      <c r="R40" s="62">
        <v>-315</v>
      </c>
      <c r="S40" s="63">
        <v>0</v>
      </c>
      <c r="T40" s="4"/>
      <c r="AI40" t="str">
        <f t="shared" ref="AI40" si="86">IFERROR(IF(AO40="","",$AI$2&amp;" "&amp;AO40),"")</f>
        <v/>
      </c>
      <c r="AJ40" t="s">
        <v>231</v>
      </c>
      <c r="AK40">
        <f t="shared" ref="AK40" si="87">AQ40/10</f>
        <v>0</v>
      </c>
      <c r="AL40" t="b">
        <f t="shared" ref="AL40" si="88">ISERR(AK40)</f>
        <v>0</v>
      </c>
      <c r="AM40" s="3">
        <f t="shared" ref="AM40" si="89">IF(AL40=TRUE,0,AK40)</f>
        <v>0</v>
      </c>
      <c r="AN40" s="33">
        <v>-1500</v>
      </c>
      <c r="AO40" s="61" t="e">
        <f>IF(($M$56+500)&gt;AR40,AR40,"")</f>
        <v>#VALUE!</v>
      </c>
      <c r="AP40" s="61" t="b">
        <f t="shared" si="1"/>
        <v>1</v>
      </c>
      <c r="AQ40" s="43">
        <f t="shared" si="2"/>
        <v>0</v>
      </c>
      <c r="AR40" s="38" t="e">
        <f>IF((AR38+$AZ$12)&gt;$AX$12+500,"",AR38+$AZ$12)</f>
        <v>#VALUE!</v>
      </c>
      <c r="AS40" s="61" t="b">
        <f t="shared" si="3"/>
        <v>1</v>
      </c>
      <c r="AT40" s="43">
        <f t="shared" si="4"/>
        <v>0</v>
      </c>
      <c r="AW40" s="62"/>
      <c r="AX40" s="9" t="e">
        <f t="shared" ref="AX40" si="90">IF(AND($AW$16&gt;AQ27,$AW$16&lt;=AQ29),AQ29,0)</f>
        <v>#VALUE!</v>
      </c>
      <c r="AY40" s="9"/>
      <c r="AZ40" s="38" t="e">
        <f t="shared" ref="AZ40" si="91">IF(AND($AY$16&gt;AT27,$AY$16&lt;=AT29),AT29,0)</f>
        <v>#VALUE!</v>
      </c>
      <c r="BD40" s="60" t="str">
        <f>IF(BG30=TRUE,BK32,"")</f>
        <v/>
      </c>
      <c r="BE40" s="63" t="str">
        <f>BE39</f>
        <v/>
      </c>
      <c r="BG40" s="62" t="b">
        <f>IF(OR(C8=TRUE,C9=TRUE),TRUE,"")</f>
        <v>1</v>
      </c>
      <c r="BH40" s="9" t="s">
        <v>336</v>
      </c>
      <c r="BI40" s="63"/>
    </row>
    <row r="41" spans="2:63" x14ac:dyDescent="0.25">
      <c r="I41" s="60" t="str">
        <f t="shared" si="11"/>
        <v>313</v>
      </c>
      <c r="J41">
        <f t="shared" si="17"/>
        <v>3</v>
      </c>
      <c r="K41" s="129">
        <v>13</v>
      </c>
      <c r="L41" s="61">
        <f t="shared" si="12"/>
        <v>0</v>
      </c>
      <c r="M41" s="38">
        <f t="shared" si="13"/>
        <v>0</v>
      </c>
      <c r="O41" t="str">
        <f t="shared" si="6"/>
        <v>114</v>
      </c>
      <c r="P41">
        <v>1</v>
      </c>
      <c r="Q41" s="129">
        <v>14</v>
      </c>
      <c r="R41" s="62">
        <v>-315</v>
      </c>
      <c r="S41" s="38">
        <v>0</v>
      </c>
      <c r="T41" s="4"/>
      <c r="AM41" s="3"/>
      <c r="AN41" s="163">
        <v>-1200</v>
      </c>
      <c r="AO41" s="66" t="e">
        <f>AO40</f>
        <v>#VALUE!</v>
      </c>
      <c r="AP41" s="61" t="b">
        <f t="shared" si="1"/>
        <v>1</v>
      </c>
      <c r="AQ41" s="43">
        <f t="shared" si="2"/>
        <v>0</v>
      </c>
      <c r="AR41" s="67" t="e">
        <f>AR40</f>
        <v>#VALUE!</v>
      </c>
      <c r="AS41" s="61" t="b">
        <f t="shared" si="3"/>
        <v>1</v>
      </c>
      <c r="AT41" s="43">
        <f t="shared" si="4"/>
        <v>0</v>
      </c>
      <c r="AW41" s="62"/>
      <c r="AX41" s="9"/>
      <c r="AY41" s="9"/>
      <c r="AZ41" s="63"/>
      <c r="BC41" t="s">
        <v>250</v>
      </c>
      <c r="BD41" s="60" t="str">
        <f>IF(BG30=TRUE,BK33,"")</f>
        <v/>
      </c>
      <c r="BE41" s="38" t="str">
        <f>BE39</f>
        <v/>
      </c>
      <c r="BG41" s="62" t="e">
        <f>IF(AY66=0,TRUE,"")</f>
        <v>#VALUE!</v>
      </c>
      <c r="BH41" s="9" t="s">
        <v>337</v>
      </c>
      <c r="BI41" s="63"/>
    </row>
    <row r="42" spans="2:63" x14ac:dyDescent="0.25">
      <c r="I42" s="60" t="str">
        <f t="shared" si="11"/>
        <v>313a</v>
      </c>
      <c r="J42">
        <f t="shared" si="17"/>
        <v>3</v>
      </c>
      <c r="K42" s="129" t="s">
        <v>149</v>
      </c>
      <c r="L42" s="61">
        <f t="shared" si="12"/>
        <v>-525</v>
      </c>
      <c r="M42" s="38">
        <f t="shared" si="13"/>
        <v>0</v>
      </c>
      <c r="O42" t="str">
        <f t="shared" si="6"/>
        <v>114a</v>
      </c>
      <c r="P42">
        <v>1</v>
      </c>
      <c r="Q42" s="129" t="s">
        <v>150</v>
      </c>
      <c r="R42" s="62">
        <v>-315</v>
      </c>
      <c r="S42" s="67">
        <v>850</v>
      </c>
      <c r="T42" s="4"/>
      <c r="AI42" t="str">
        <f t="shared" ref="AI42" si="92">IFERROR(IF(AO42="","",$AI$2&amp;" "&amp;AO42),"")</f>
        <v/>
      </c>
      <c r="AJ42" t="s">
        <v>232</v>
      </c>
      <c r="AK42">
        <f t="shared" ref="AK42" si="93">AQ42/10</f>
        <v>0</v>
      </c>
      <c r="AL42" t="b">
        <f t="shared" ref="AL42" si="94">ISERR(AK42)</f>
        <v>0</v>
      </c>
      <c r="AM42" s="3">
        <f t="shared" ref="AM42" si="95">IF(AL42=TRUE,0,AK42)</f>
        <v>0</v>
      </c>
      <c r="AN42" s="33">
        <v>-1500</v>
      </c>
      <c r="AO42" s="61" t="e">
        <f>IF(($M$56+500)&gt;AR42,AR42,"")</f>
        <v>#VALUE!</v>
      </c>
      <c r="AP42" s="61" t="b">
        <f t="shared" si="1"/>
        <v>1</v>
      </c>
      <c r="AQ42" s="43">
        <f t="shared" si="2"/>
        <v>0</v>
      </c>
      <c r="AR42" s="38" t="e">
        <f>IF((AR40+$AZ$12)&gt;$AX$12,"",AR40+$AZ$12)</f>
        <v>#VALUE!</v>
      </c>
      <c r="AS42" s="61" t="b">
        <f t="shared" si="3"/>
        <v>1</v>
      </c>
      <c r="AT42" s="43">
        <f t="shared" si="4"/>
        <v>0</v>
      </c>
      <c r="AW42" s="62"/>
      <c r="AX42" s="9" t="e">
        <f t="shared" ref="AX42" si="96">IF(AND($AW$16&gt;AQ29,$AW$16&lt;=AQ31),AQ31,0)</f>
        <v>#VALUE!</v>
      </c>
      <c r="AY42" s="9"/>
      <c r="AZ42" s="38" t="e">
        <f t="shared" ref="AZ42" si="97">IF(AND($AY$16&gt;AT29,$AY$16&lt;=AT31),AT31,0)</f>
        <v>#VALUE!</v>
      </c>
      <c r="BD42" s="60" t="str">
        <f>IF(BG30=TRUE,BK34,"")</f>
        <v/>
      </c>
      <c r="BE42" s="67" t="e">
        <f>BE41-50</f>
        <v>#VALUE!</v>
      </c>
      <c r="BG42" s="28" t="e">
        <f>IF(AND(BG40=TRUE,BG41=TRUE),TRUE,FALSE)</f>
        <v>#VALUE!</v>
      </c>
      <c r="BH42" s="9" t="s">
        <v>338</v>
      </c>
      <c r="BI42" s="63"/>
    </row>
    <row r="43" spans="2:63" x14ac:dyDescent="0.25">
      <c r="I43" s="60" t="str">
        <f t="shared" si="11"/>
        <v>314</v>
      </c>
      <c r="J43">
        <f t="shared" si="17"/>
        <v>3</v>
      </c>
      <c r="K43" s="129">
        <v>14</v>
      </c>
      <c r="L43" s="61">
        <f t="shared" si="12"/>
        <v>-525</v>
      </c>
      <c r="M43" s="38">
        <f t="shared" si="13"/>
        <v>0</v>
      </c>
      <c r="O43" t="str">
        <f t="shared" si="6"/>
        <v>115</v>
      </c>
      <c r="P43">
        <v>1</v>
      </c>
      <c r="Q43" s="129">
        <v>15</v>
      </c>
      <c r="R43" s="62">
        <v>-315</v>
      </c>
      <c r="S43" s="63">
        <f t="shared" ref="S43:S52" si="98">$S$42</f>
        <v>850</v>
      </c>
      <c r="T43" s="4"/>
      <c r="AM43" s="3"/>
      <c r="AN43" s="163">
        <v>-1200</v>
      </c>
      <c r="AO43" s="66" t="e">
        <f>AO42</f>
        <v>#VALUE!</v>
      </c>
      <c r="AP43" s="61" t="b">
        <f t="shared" si="1"/>
        <v>1</v>
      </c>
      <c r="AQ43" s="43">
        <f t="shared" si="2"/>
        <v>0</v>
      </c>
      <c r="AR43" s="67" t="e">
        <f>AR42</f>
        <v>#VALUE!</v>
      </c>
      <c r="AS43" s="61" t="b">
        <f t="shared" si="3"/>
        <v>1</v>
      </c>
      <c r="AT43" s="43">
        <f t="shared" si="4"/>
        <v>0</v>
      </c>
      <c r="AW43" s="62"/>
      <c r="AX43" s="9"/>
      <c r="AY43" s="9"/>
      <c r="AZ43" s="63"/>
      <c r="BC43" t="s">
        <v>251</v>
      </c>
      <c r="BD43" s="60" t="str">
        <f>IF(BG30=TRUE,BK35,"")</f>
        <v/>
      </c>
      <c r="BE43" s="63" t="str">
        <f>BE41</f>
        <v/>
      </c>
      <c r="BG43" s="62">
        <f>L55-50</f>
        <v>-523</v>
      </c>
      <c r="BH43" s="187" t="e">
        <f>M24-250</f>
        <v>#VALUE!</v>
      </c>
      <c r="BI43" s="188" t="e">
        <f>ROUND(BH43,0)</f>
        <v>#VALUE!</v>
      </c>
    </row>
    <row r="44" spans="2:63" x14ac:dyDescent="0.25">
      <c r="I44" s="60" t="str">
        <f t="shared" si="11"/>
        <v>314a</v>
      </c>
      <c r="J44">
        <f t="shared" si="17"/>
        <v>3</v>
      </c>
      <c r="K44" s="129" t="s">
        <v>150</v>
      </c>
      <c r="L44" s="61">
        <f t="shared" si="12"/>
        <v>-525</v>
      </c>
      <c r="M44" s="38">
        <f>VLOOKUP(I44,$O$5:$S$1055,5,0)</f>
        <v>500</v>
      </c>
      <c r="O44" t="str">
        <f t="shared" si="6"/>
        <v>115a</v>
      </c>
      <c r="P44">
        <v>1</v>
      </c>
      <c r="Q44" s="129" t="s">
        <v>151</v>
      </c>
      <c r="R44" s="62">
        <v>-315</v>
      </c>
      <c r="S44" s="63">
        <f t="shared" si="98"/>
        <v>850</v>
      </c>
      <c r="T44" s="4"/>
      <c r="AI44" t="str">
        <f t="shared" ref="AI44" si="99">IFERROR(IF(AO44="","",$AI$2&amp;" "&amp;AO44),"")</f>
        <v/>
      </c>
      <c r="AJ44" t="s">
        <v>233</v>
      </c>
      <c r="AK44">
        <f t="shared" ref="AK44" si="100">AQ44/10</f>
        <v>0</v>
      </c>
      <c r="AL44" t="b">
        <f t="shared" ref="AL44" si="101">ISERR(AK44)</f>
        <v>0</v>
      </c>
      <c r="AM44" s="3">
        <f t="shared" ref="AM44" si="102">IF(AL44=TRUE,0,AK44)</f>
        <v>0</v>
      </c>
      <c r="AN44" s="33">
        <v>-1500</v>
      </c>
      <c r="AO44" s="61" t="e">
        <f>IF(($M$56+500)&gt;AR44,AR44,"")</f>
        <v>#VALUE!</v>
      </c>
      <c r="AP44" s="61" t="b">
        <f t="shared" si="1"/>
        <v>1</v>
      </c>
      <c r="AQ44" s="43">
        <f t="shared" si="2"/>
        <v>0</v>
      </c>
      <c r="AR44" s="38" t="e">
        <f>IF((AR42+$AZ$12)&gt;$AX$12,"",AR42+$AZ$12)</f>
        <v>#VALUE!</v>
      </c>
      <c r="AS44" s="61" t="b">
        <f t="shared" si="3"/>
        <v>1</v>
      </c>
      <c r="AT44" s="43">
        <f t="shared" si="4"/>
        <v>0</v>
      </c>
      <c r="AW44" s="62"/>
      <c r="AX44" s="9" t="e">
        <f t="shared" ref="AX44" si="103">IF(AND($AW$16&gt;AQ31,$AW$16&lt;=AQ33),AQ33,0)</f>
        <v>#VALUE!</v>
      </c>
      <c r="AY44" s="9"/>
      <c r="AZ44" s="38" t="e">
        <f t="shared" ref="AZ44" si="104">IF(AND($AY$16&gt;AT31,$AY$16&lt;=AT33),AT33,0)</f>
        <v>#VALUE!</v>
      </c>
      <c r="BD44" s="60" t="str">
        <f>IF(BG30=TRUE,BK36,"")</f>
        <v/>
      </c>
      <c r="BE44" s="67" t="e">
        <f>BE43-50</f>
        <v>#VALUE!</v>
      </c>
      <c r="BG44" s="62">
        <f>M11+100</f>
        <v>600</v>
      </c>
      <c r="BH44" s="187" t="e">
        <f>BH43</f>
        <v>#VALUE!</v>
      </c>
      <c r="BI44" s="63"/>
    </row>
    <row r="45" spans="2:63" x14ac:dyDescent="0.25">
      <c r="I45" s="60" t="str">
        <f t="shared" si="11"/>
        <v>315</v>
      </c>
      <c r="J45">
        <f t="shared" si="17"/>
        <v>3</v>
      </c>
      <c r="K45" s="129">
        <v>15</v>
      </c>
      <c r="L45" s="61">
        <f t="shared" si="12"/>
        <v>-525</v>
      </c>
      <c r="M45" s="38">
        <f>VLOOKUP(I45,$O$5:$S$1055,5,0)</f>
        <v>500</v>
      </c>
      <c r="O45" t="str">
        <f t="shared" si="6"/>
        <v>116</v>
      </c>
      <c r="P45">
        <v>1</v>
      </c>
      <c r="Q45" s="129">
        <v>16</v>
      </c>
      <c r="R45" s="62">
        <v>-315</v>
      </c>
      <c r="S45" s="38">
        <f t="shared" si="98"/>
        <v>850</v>
      </c>
      <c r="T45" s="4"/>
      <c r="AM45" s="3"/>
      <c r="AN45" s="163">
        <v>-1200</v>
      </c>
      <c r="AO45" s="66" t="e">
        <f>AO44</f>
        <v>#VALUE!</v>
      </c>
      <c r="AP45" s="61" t="b">
        <f t="shared" si="1"/>
        <v>1</v>
      </c>
      <c r="AQ45" s="43">
        <f t="shared" si="2"/>
        <v>0</v>
      </c>
      <c r="AR45" s="67" t="e">
        <f>AR44</f>
        <v>#VALUE!</v>
      </c>
      <c r="AS45" s="61" t="b">
        <f t="shared" si="3"/>
        <v>1</v>
      </c>
      <c r="AT45" s="43">
        <f t="shared" si="4"/>
        <v>0</v>
      </c>
      <c r="AW45" s="62"/>
      <c r="AX45" s="9"/>
      <c r="AY45" s="9"/>
      <c r="AZ45" s="63"/>
      <c r="BG45" s="60" t="e">
        <f>IF(BG42=TRUE,BG43,0)</f>
        <v>#VALUE!</v>
      </c>
      <c r="BH45" s="185" t="e">
        <f>IF(BG42=TRUE,BH43,0)</f>
        <v>#VALUE!</v>
      </c>
      <c r="BI45" s="63"/>
    </row>
    <row r="46" spans="2:63" x14ac:dyDescent="0.25">
      <c r="I46" s="60" t="str">
        <f t="shared" si="11"/>
        <v>315a</v>
      </c>
      <c r="J46">
        <f t="shared" si="17"/>
        <v>3</v>
      </c>
      <c r="K46" s="129" t="s">
        <v>151</v>
      </c>
      <c r="L46" s="61">
        <f t="shared" si="12"/>
        <v>-525</v>
      </c>
      <c r="M46" s="38" t="e">
        <f>VLOOKUP(I46,$O$5:$S$1055,5,0)+D25</f>
        <v>#VALUE!</v>
      </c>
      <c r="O46" t="str">
        <f t="shared" si="6"/>
        <v>116a</v>
      </c>
      <c r="P46">
        <v>1</v>
      </c>
      <c r="Q46" s="129" t="s">
        <v>152</v>
      </c>
      <c r="R46" s="62">
        <v>-196</v>
      </c>
      <c r="S46" s="38">
        <f t="shared" si="98"/>
        <v>850</v>
      </c>
      <c r="T46" s="4"/>
      <c r="AI46" t="str">
        <f t="shared" ref="AI46" si="105">IFERROR(IF(AO46="","",$AI$2&amp;" "&amp;AO46),"")</f>
        <v/>
      </c>
      <c r="AJ46" t="s">
        <v>234</v>
      </c>
      <c r="AK46">
        <f t="shared" ref="AK46" si="106">AQ46/10</f>
        <v>0</v>
      </c>
      <c r="AL46" t="b">
        <f t="shared" ref="AL46" si="107">ISERR(AK46)</f>
        <v>0</v>
      </c>
      <c r="AM46" s="3">
        <f t="shared" ref="AM46" si="108">IF(AL46=TRUE,0,AK46)</f>
        <v>0</v>
      </c>
      <c r="AN46" s="33">
        <v>-1500</v>
      </c>
      <c r="AO46" s="61" t="e">
        <f>IF(($M$56+500)&gt;AR46,AR46,"")</f>
        <v>#VALUE!</v>
      </c>
      <c r="AP46" s="61" t="b">
        <f t="shared" si="1"/>
        <v>1</v>
      </c>
      <c r="AQ46" s="43">
        <f t="shared" si="2"/>
        <v>0</v>
      </c>
      <c r="AR46" s="38" t="e">
        <f>IF((AR44+$AZ$12)&gt;$AX$12,"",AR44+$AZ$12)</f>
        <v>#VALUE!</v>
      </c>
      <c r="AS46" s="61" t="b">
        <f t="shared" si="3"/>
        <v>1</v>
      </c>
      <c r="AT46" s="43">
        <f t="shared" si="4"/>
        <v>0</v>
      </c>
      <c r="AW46" s="62"/>
      <c r="AX46" s="9" t="e">
        <f t="shared" ref="AX46" si="109">IF(AND($AW$16&gt;AQ33,$AW$16&lt;=AQ35),AQ35,0)</f>
        <v>#VALUE!</v>
      </c>
      <c r="AY46" s="9"/>
      <c r="AZ46" s="38" t="e">
        <f t="shared" ref="AZ46" si="110">IF(AND($AY$16&gt;AT33,$AY$16&lt;=AT35),AT35,0)</f>
        <v>#VALUE!</v>
      </c>
      <c r="BG46" s="65" t="e">
        <f>IF(BG42=TRUE,BG44,0)</f>
        <v>#VALUE!</v>
      </c>
      <c r="BH46" s="186" t="e">
        <f>IF(BG42=TRUE,BH44,0)</f>
        <v>#VALUE!</v>
      </c>
      <c r="BI46" s="67"/>
    </row>
    <row r="47" spans="2:63" x14ac:dyDescent="0.25">
      <c r="I47" s="60" t="str">
        <f t="shared" si="11"/>
        <v>316</v>
      </c>
      <c r="J47">
        <f t="shared" si="17"/>
        <v>3</v>
      </c>
      <c r="K47" s="129">
        <v>16</v>
      </c>
      <c r="L47" s="61">
        <f t="shared" si="12"/>
        <v>-525</v>
      </c>
      <c r="M47" s="38" t="e">
        <f>VLOOKUP(I47,$O$5:$S$1055,5,0)+D25</f>
        <v>#VALUE!</v>
      </c>
      <c r="O47" t="str">
        <f t="shared" si="6"/>
        <v>116b</v>
      </c>
      <c r="P47">
        <v>1</v>
      </c>
      <c r="Q47" s="129" t="s">
        <v>153</v>
      </c>
      <c r="R47" s="62">
        <v>-196</v>
      </c>
      <c r="S47" s="38">
        <f t="shared" si="98"/>
        <v>850</v>
      </c>
      <c r="T47" s="4"/>
      <c r="AM47" s="3"/>
      <c r="AN47" s="163">
        <v>-1200</v>
      </c>
      <c r="AO47" s="66" t="e">
        <f>AO46</f>
        <v>#VALUE!</v>
      </c>
      <c r="AP47" s="61" t="b">
        <f t="shared" si="1"/>
        <v>1</v>
      </c>
      <c r="AQ47" s="43">
        <f t="shared" si="2"/>
        <v>0</v>
      </c>
      <c r="AR47" s="67" t="e">
        <f>AR46</f>
        <v>#VALUE!</v>
      </c>
      <c r="AS47" s="61" t="b">
        <f t="shared" si="3"/>
        <v>1</v>
      </c>
      <c r="AT47" s="43">
        <f t="shared" si="4"/>
        <v>0</v>
      </c>
      <c r="AW47" s="62"/>
      <c r="AX47" s="9"/>
      <c r="AY47" s="9"/>
      <c r="AZ47" s="63"/>
      <c r="BD47" t="s">
        <v>255</v>
      </c>
    </row>
    <row r="48" spans="2:63" x14ac:dyDescent="0.25">
      <c r="B48" t="s">
        <v>171</v>
      </c>
      <c r="I48" s="60" t="str">
        <f t="shared" si="11"/>
        <v>316a</v>
      </c>
      <c r="J48">
        <f t="shared" si="17"/>
        <v>3</v>
      </c>
      <c r="K48" s="129" t="s">
        <v>152</v>
      </c>
      <c r="L48" s="61">
        <f t="shared" si="12"/>
        <v>-523.22814296703154</v>
      </c>
      <c r="M48" s="38" t="e">
        <f>VLOOKUP(I48,$O$5:$S$1055,5,0)+D25</f>
        <v>#VALUE!</v>
      </c>
      <c r="O48" t="str">
        <f t="shared" si="6"/>
        <v>116c</v>
      </c>
      <c r="P48">
        <v>1</v>
      </c>
      <c r="Q48" s="115" t="s">
        <v>184</v>
      </c>
      <c r="R48" s="62">
        <v>-196</v>
      </c>
      <c r="S48" s="38">
        <f t="shared" si="98"/>
        <v>850</v>
      </c>
      <c r="T48" s="4"/>
      <c r="AI48" t="str">
        <f t="shared" ref="AI48" si="111">IFERROR(IF(AO48="","",$AI$2&amp;" "&amp;AO48),"")</f>
        <v/>
      </c>
      <c r="AJ48" t="s">
        <v>235</v>
      </c>
      <c r="AK48">
        <f t="shared" ref="AK48" si="112">AQ48/10</f>
        <v>0</v>
      </c>
      <c r="AL48" t="b">
        <f t="shared" ref="AL48" si="113">ISERR(AK48)</f>
        <v>0</v>
      </c>
      <c r="AM48" s="3">
        <f t="shared" ref="AM48" si="114">IF(AL48=TRUE,0,AK48)</f>
        <v>0</v>
      </c>
      <c r="AN48" s="33">
        <v>-1500</v>
      </c>
      <c r="AO48" s="61" t="e">
        <f>IF(($M$56+500)&gt;AR48,AR48,"")</f>
        <v>#VALUE!</v>
      </c>
      <c r="AP48" s="61" t="b">
        <f t="shared" si="1"/>
        <v>1</v>
      </c>
      <c r="AQ48" s="43">
        <f t="shared" si="2"/>
        <v>0</v>
      </c>
      <c r="AR48" s="38" t="e">
        <f>IF((AR46+$AZ$12)&gt;$AX$12,"",AR46+$AZ$12)</f>
        <v>#VALUE!</v>
      </c>
      <c r="AS48" s="61" t="b">
        <f t="shared" si="3"/>
        <v>1</v>
      </c>
      <c r="AT48" s="43">
        <f t="shared" si="4"/>
        <v>0</v>
      </c>
      <c r="AW48" s="62"/>
      <c r="AX48" s="9" t="e">
        <f t="shared" ref="AX48" si="115">IF(AND($AW$16&gt;AQ35,$AW$16&lt;=AQ37),AQ37,0)</f>
        <v>#VALUE!</v>
      </c>
      <c r="AY48" s="9"/>
      <c r="AZ48" s="38" t="e">
        <f t="shared" ref="AZ48:AZ52" si="116">IF(AND($AY$16&gt;AT35,$AY$16&lt;=AT37),AT37,0)</f>
        <v>#VALUE!</v>
      </c>
      <c r="BD48" s="60" t="s">
        <v>79</v>
      </c>
      <c r="BE48" s="61"/>
      <c r="BF48" s="38"/>
    </row>
    <row r="49" spans="2:62" x14ac:dyDescent="0.25">
      <c r="B49" s="71" t="e">
        <f>Schachtselector!$G$126</f>
        <v>#VALUE!</v>
      </c>
      <c r="I49" s="60" t="str">
        <f t="shared" si="11"/>
        <v>316b</v>
      </c>
      <c r="J49">
        <f t="shared" si="17"/>
        <v>3</v>
      </c>
      <c r="K49" s="129" t="s">
        <v>153</v>
      </c>
      <c r="L49" s="61">
        <f t="shared" si="12"/>
        <v>-518.03332099679085</v>
      </c>
      <c r="M49" s="38" t="e">
        <f>VLOOKUP(I49,$O$5:$S$1055,5,0)+D25</f>
        <v>#VALUE!</v>
      </c>
      <c r="O49" t="str">
        <f t="shared" si="6"/>
        <v>116d</v>
      </c>
      <c r="P49">
        <v>1</v>
      </c>
      <c r="Q49" s="115" t="s">
        <v>185</v>
      </c>
      <c r="R49" s="62">
        <v>-196</v>
      </c>
      <c r="S49" s="38">
        <f t="shared" si="98"/>
        <v>850</v>
      </c>
      <c r="T49" s="4"/>
      <c r="AM49" s="3"/>
      <c r="AN49" s="163">
        <v>-1200</v>
      </c>
      <c r="AO49" s="66" t="e">
        <f>AO48</f>
        <v>#VALUE!</v>
      </c>
      <c r="AP49" s="61" t="b">
        <f t="shared" si="1"/>
        <v>1</v>
      </c>
      <c r="AQ49" s="43">
        <f t="shared" si="2"/>
        <v>0</v>
      </c>
      <c r="AR49" s="67" t="e">
        <f>AR48</f>
        <v>#VALUE!</v>
      </c>
      <c r="AS49" s="61" t="b">
        <f t="shared" si="3"/>
        <v>1</v>
      </c>
      <c r="AT49" s="43">
        <f t="shared" si="4"/>
        <v>0</v>
      </c>
      <c r="AW49" s="62"/>
      <c r="AX49" s="9"/>
      <c r="AY49" s="9"/>
      <c r="AZ49" s="63"/>
      <c r="BD49" s="62" t="b">
        <f>$C$9</f>
        <v>1</v>
      </c>
      <c r="BE49" s="9">
        <f>IF(BD49=TRUE,1,0)</f>
        <v>1</v>
      </c>
      <c r="BF49" s="63"/>
    </row>
    <row r="50" spans="2:62" x14ac:dyDescent="0.25">
      <c r="I50" s="60" t="str">
        <f t="shared" si="11"/>
        <v>316c</v>
      </c>
      <c r="J50">
        <f t="shared" si="17"/>
        <v>3</v>
      </c>
      <c r="K50" s="115" t="s">
        <v>184</v>
      </c>
      <c r="L50" s="61">
        <f t="shared" si="12"/>
        <v>-509.76955262170048</v>
      </c>
      <c r="M50" s="38" t="e">
        <f>VLOOKUP(I50,$O$5:$S$1055,5,0)+D25</f>
        <v>#VALUE!</v>
      </c>
      <c r="O50" t="str">
        <f t="shared" si="6"/>
        <v>116e</v>
      </c>
      <c r="P50">
        <v>1</v>
      </c>
      <c r="Q50" s="115" t="s">
        <v>186</v>
      </c>
      <c r="R50" s="62">
        <v>-196</v>
      </c>
      <c r="S50" s="38">
        <f t="shared" si="98"/>
        <v>850</v>
      </c>
      <c r="T50" s="4"/>
      <c r="AI50" t="str">
        <f t="shared" ref="AI50" si="117">IFERROR(IF(AO50="","",$AI$2&amp;" "&amp;AO50),"")</f>
        <v/>
      </c>
      <c r="AJ50" t="s">
        <v>236</v>
      </c>
      <c r="AK50">
        <f t="shared" ref="AK50" si="118">AQ50/10</f>
        <v>0</v>
      </c>
      <c r="AL50" t="b">
        <f t="shared" ref="AL50" si="119">ISERR(AK50)</f>
        <v>0</v>
      </c>
      <c r="AM50" s="3">
        <f t="shared" ref="AM50" si="120">IF(AL50=TRUE,0,AK50)</f>
        <v>0</v>
      </c>
      <c r="AN50" s="33">
        <v>-1500</v>
      </c>
      <c r="AO50" s="61" t="e">
        <f>IF(($M$56+500)&gt;AR50,AR50,"")</f>
        <v>#VALUE!</v>
      </c>
      <c r="AP50" s="61" t="b">
        <f t="shared" si="1"/>
        <v>1</v>
      </c>
      <c r="AQ50" s="43">
        <f t="shared" si="2"/>
        <v>0</v>
      </c>
      <c r="AR50" s="38" t="e">
        <f>IF((AR48+$AZ$12)&gt;$AX$12,"",AR48+$AZ$12)</f>
        <v>#VALUE!</v>
      </c>
      <c r="AS50" s="61" t="b">
        <f t="shared" si="3"/>
        <v>1</v>
      </c>
      <c r="AT50" s="43">
        <f t="shared" si="4"/>
        <v>0</v>
      </c>
      <c r="AW50" s="62"/>
      <c r="AX50" s="9"/>
      <c r="AY50" s="9"/>
      <c r="AZ50" s="38" t="e">
        <f t="shared" si="116"/>
        <v>#VALUE!</v>
      </c>
      <c r="BD50" s="62" t="b">
        <f>$C$8</f>
        <v>0</v>
      </c>
      <c r="BE50" s="9">
        <f>IF(BD50=TRUE,1,0)</f>
        <v>0</v>
      </c>
      <c r="BF50" s="63"/>
    </row>
    <row r="51" spans="2:62" x14ac:dyDescent="0.25">
      <c r="I51" s="60" t="str">
        <f t="shared" si="11"/>
        <v>316d</v>
      </c>
      <c r="J51">
        <f t="shared" si="17"/>
        <v>3</v>
      </c>
      <c r="K51" s="115" t="s">
        <v>185</v>
      </c>
      <c r="L51" s="61">
        <f t="shared" si="12"/>
        <v>-499</v>
      </c>
      <c r="M51" s="38" t="e">
        <f>VLOOKUP(I51,$O$5:$S$1055,5,0)+D25</f>
        <v>#VALUE!</v>
      </c>
      <c r="O51" t="str">
        <f t="shared" si="6"/>
        <v>116f</v>
      </c>
      <c r="P51">
        <v>1</v>
      </c>
      <c r="Q51" s="115" t="s">
        <v>187</v>
      </c>
      <c r="R51" s="62">
        <v>-196</v>
      </c>
      <c r="S51" s="38">
        <f t="shared" si="98"/>
        <v>850</v>
      </c>
      <c r="T51" s="4"/>
      <c r="AM51" s="3"/>
      <c r="AN51" s="163">
        <v>-1200</v>
      </c>
      <c r="AO51" s="66" t="e">
        <f>AO50</f>
        <v>#VALUE!</v>
      </c>
      <c r="AP51" s="61" t="b">
        <f t="shared" si="1"/>
        <v>1</v>
      </c>
      <c r="AQ51" s="43">
        <f t="shared" si="2"/>
        <v>0</v>
      </c>
      <c r="AR51" s="67" t="e">
        <f>AR50</f>
        <v>#VALUE!</v>
      </c>
      <c r="AS51" s="61" t="b">
        <f t="shared" si="3"/>
        <v>1</v>
      </c>
      <c r="AT51" s="43">
        <f t="shared" si="4"/>
        <v>0</v>
      </c>
      <c r="AW51" s="62"/>
      <c r="AX51" s="9"/>
      <c r="AY51" s="9"/>
      <c r="AZ51" s="63"/>
      <c r="BB51" t="s">
        <v>1184</v>
      </c>
      <c r="BD51" s="62" t="s">
        <v>260</v>
      </c>
      <c r="BE51" s="9" t="s">
        <v>261</v>
      </c>
      <c r="BF51" s="63" t="s">
        <v>259</v>
      </c>
    </row>
    <row r="52" spans="2:62" x14ac:dyDescent="0.25">
      <c r="I52" s="60" t="str">
        <f t="shared" si="11"/>
        <v>316e</v>
      </c>
      <c r="J52">
        <f t="shared" si="17"/>
        <v>3</v>
      </c>
      <c r="K52" s="115" t="s">
        <v>186</v>
      </c>
      <c r="L52" s="61">
        <f t="shared" si="12"/>
        <v>-486.45859034533106</v>
      </c>
      <c r="M52" s="38" t="e">
        <f>VLOOKUP(I52,$O$5:$S$1055,5,0)+D25</f>
        <v>#VALUE!</v>
      </c>
      <c r="O52" t="str">
        <f t="shared" si="6"/>
        <v>117</v>
      </c>
      <c r="P52">
        <v>1</v>
      </c>
      <c r="Q52" s="129">
        <v>17</v>
      </c>
      <c r="R52" s="62">
        <v>-196</v>
      </c>
      <c r="S52" s="38">
        <f t="shared" si="98"/>
        <v>850</v>
      </c>
      <c r="T52" s="4"/>
      <c r="AI52" t="str">
        <f t="shared" ref="AI52" si="121">IFERROR(IF(AO52="","",$AI$2&amp;" "&amp;AO52),"")</f>
        <v/>
      </c>
      <c r="AJ52" t="s">
        <v>237</v>
      </c>
      <c r="AK52">
        <f t="shared" ref="AK52" si="122">AQ52/10</f>
        <v>0</v>
      </c>
      <c r="AL52" t="b">
        <f t="shared" ref="AL52" si="123">ISERR(AK52)</f>
        <v>0</v>
      </c>
      <c r="AM52" s="3">
        <f t="shared" ref="AM52" si="124">IF(AL52=TRUE,0,AK52)</f>
        <v>0</v>
      </c>
      <c r="AN52" s="33">
        <v>-1500</v>
      </c>
      <c r="AO52" s="61" t="e">
        <f>IF(($M$56+500)&gt;AR52,AR52,"")</f>
        <v>#VALUE!</v>
      </c>
      <c r="AP52" s="61" t="b">
        <f t="shared" si="1"/>
        <v>1</v>
      </c>
      <c r="AQ52" s="43">
        <f t="shared" si="2"/>
        <v>0</v>
      </c>
      <c r="AR52" s="38" t="e">
        <f>IF((AR50+$AZ$12)&gt;$AX$12,"",AR50+$AZ$12)</f>
        <v>#VALUE!</v>
      </c>
      <c r="AS52" s="61" t="b">
        <f t="shared" si="3"/>
        <v>1</v>
      </c>
      <c r="AT52" s="43">
        <f t="shared" si="4"/>
        <v>0</v>
      </c>
      <c r="AW52" s="62"/>
      <c r="AX52" s="9"/>
      <c r="AY52" s="9"/>
      <c r="AZ52" s="38" t="e">
        <f t="shared" si="116"/>
        <v>#VALUE!</v>
      </c>
      <c r="BB52" t="str">
        <f>IF(OR(BD52=TRUE,BD53=TRUE),"_F1",IF(OR(BE52=TRUE,BE53=TRUE),"_F2","_F3"))</f>
        <v>_F3</v>
      </c>
      <c r="BC52">
        <v>800</v>
      </c>
      <c r="BD52" s="62" t="b">
        <v>0</v>
      </c>
      <c r="BE52" s="62" t="b">
        <v>0</v>
      </c>
      <c r="BF52" s="62" t="b">
        <v>0</v>
      </c>
      <c r="BG52">
        <f>IF(A8=TRUE,IF(BD52=TRUE,1,IF(BE52=TRUE,2,IF(BF52=TRUE,3,0))),0)</f>
        <v>0</v>
      </c>
      <c r="BI52" s="62">
        <f>$L$56</f>
        <v>-473</v>
      </c>
    </row>
    <row r="53" spans="2:62" x14ac:dyDescent="0.25">
      <c r="I53" s="60" t="str">
        <f t="shared" si="11"/>
        <v>316f</v>
      </c>
      <c r="J53">
        <f t="shared" si="17"/>
        <v>3</v>
      </c>
      <c r="K53" s="115" t="s">
        <v>187</v>
      </c>
      <c r="L53" s="61">
        <f t="shared" si="12"/>
        <v>-473</v>
      </c>
      <c r="M53" s="38" t="e">
        <f>VLOOKUP(I53,$O$5:$S$1055,5,0)+D25</f>
        <v>#VALUE!</v>
      </c>
      <c r="O53" t="str">
        <f t="shared" si="6"/>
        <v>117a</v>
      </c>
      <c r="P53">
        <v>1</v>
      </c>
      <c r="Q53" s="129" t="s">
        <v>154</v>
      </c>
      <c r="R53" s="62">
        <v>-196</v>
      </c>
      <c r="S53" s="121">
        <v>1110</v>
      </c>
      <c r="T53" s="4"/>
      <c r="AM53" s="3"/>
      <c r="AN53" s="163">
        <v>-1200</v>
      </c>
      <c r="AO53" s="66" t="e">
        <f>AO52</f>
        <v>#VALUE!</v>
      </c>
      <c r="AP53" s="61" t="b">
        <f t="shared" si="1"/>
        <v>1</v>
      </c>
      <c r="AQ53" s="43">
        <f t="shared" si="2"/>
        <v>0</v>
      </c>
      <c r="AR53" s="67" t="e">
        <f>AR52</f>
        <v>#VALUE!</v>
      </c>
      <c r="AS53" s="61" t="b">
        <f t="shared" si="3"/>
        <v>1</v>
      </c>
      <c r="AT53" s="43">
        <f t="shared" si="4"/>
        <v>0</v>
      </c>
      <c r="AW53" s="62"/>
      <c r="AX53" s="9"/>
      <c r="AY53" s="9"/>
      <c r="AZ53" s="63"/>
      <c r="BC53">
        <v>1000</v>
      </c>
      <c r="BD53" s="62" t="b">
        <v>0</v>
      </c>
      <c r="BE53" s="9" t="b">
        <v>0</v>
      </c>
      <c r="BF53" s="63" t="b">
        <v>0</v>
      </c>
      <c r="BG53">
        <f>IF(A9=TRUE,IF(BD53=TRUE,1,IF(BE53=TRUE,2,IF(BF53=TRUE,3,0))),0)</f>
        <v>0</v>
      </c>
    </row>
    <row r="54" spans="2:62" x14ac:dyDescent="0.25">
      <c r="I54" s="60" t="str">
        <f t="shared" si="11"/>
        <v>317</v>
      </c>
      <c r="J54">
        <f t="shared" si="17"/>
        <v>3</v>
      </c>
      <c r="K54" s="129">
        <v>17</v>
      </c>
      <c r="L54" s="61">
        <f t="shared" si="12"/>
        <v>-473</v>
      </c>
      <c r="M54" s="179" t="e">
        <f>VLOOKUP(I54,$O$5:$S$1055,5,0)+D25</f>
        <v>#VALUE!</v>
      </c>
      <c r="O54" t="str">
        <f t="shared" si="6"/>
        <v>118</v>
      </c>
      <c r="P54">
        <v>1</v>
      </c>
      <c r="Q54" s="129">
        <v>18</v>
      </c>
      <c r="R54" s="62">
        <v>-196</v>
      </c>
      <c r="S54" s="121">
        <v>1110</v>
      </c>
      <c r="T54" s="4"/>
      <c r="AI54" t="str">
        <f t="shared" ref="AI54" si="125">IFERROR(IF(AO54="","",$AI$2&amp;" "&amp;AO54),"")</f>
        <v/>
      </c>
      <c r="AJ54" t="s">
        <v>238</v>
      </c>
      <c r="AK54">
        <f t="shared" ref="AK54" si="126">AQ54/10</f>
        <v>0</v>
      </c>
      <c r="AL54" t="b">
        <f t="shared" ref="AL54" si="127">ISERR(AK54)</f>
        <v>0</v>
      </c>
      <c r="AM54" s="3">
        <f t="shared" ref="AM54" si="128">IF(AL54=TRUE,0,AK54)</f>
        <v>0</v>
      </c>
      <c r="AN54" s="33">
        <v>-1500</v>
      </c>
      <c r="AO54" s="61" t="e">
        <f>IF(($M$56+500)&gt;AR54,AR54,"")</f>
        <v>#VALUE!</v>
      </c>
      <c r="AP54" s="61" t="b">
        <f t="shared" si="1"/>
        <v>1</v>
      </c>
      <c r="AQ54" s="43">
        <f t="shared" si="2"/>
        <v>0</v>
      </c>
      <c r="AR54" s="38" t="e">
        <f>IF((AR52+$AZ$12)&gt;$AX$12,"",AR52+$AZ$12)</f>
        <v>#VALUE!</v>
      </c>
      <c r="AS54" s="61" t="b">
        <f t="shared" si="3"/>
        <v>1</v>
      </c>
      <c r="AT54" s="43">
        <f t="shared" si="4"/>
        <v>0</v>
      </c>
      <c r="AW54" s="62"/>
      <c r="AX54" s="28" t="e">
        <f>SUM(AX16:AX49)</f>
        <v>#VALUE!</v>
      </c>
      <c r="AY54" s="9"/>
      <c r="AZ54" s="28" t="e">
        <f>SUM(AZ16:AZ53)</f>
        <v>#VALUE!</v>
      </c>
      <c r="BC54" s="60"/>
      <c r="BD54" s="61" t="s">
        <v>43</v>
      </c>
      <c r="BE54" s="61" t="s">
        <v>44</v>
      </c>
      <c r="BF54" s="38"/>
      <c r="BG54">
        <f>SUM(BG52:BG53)</f>
        <v>0</v>
      </c>
    </row>
    <row r="55" spans="2:62" ht="15.75" thickBot="1" x14ac:dyDescent="0.3">
      <c r="I55" s="60" t="str">
        <f t="shared" si="11"/>
        <v>317a</v>
      </c>
      <c r="J55">
        <f t="shared" si="17"/>
        <v>3</v>
      </c>
      <c r="K55" s="129" t="s">
        <v>154</v>
      </c>
      <c r="L55" s="61">
        <f t="shared" si="12"/>
        <v>-473</v>
      </c>
      <c r="M55" s="38" t="e">
        <f>VLOOKUP(I55,$O$5:$S$1055,5,0)+D25</f>
        <v>#VALUE!</v>
      </c>
      <c r="O55" t="str">
        <f t="shared" si="6"/>
        <v>118a</v>
      </c>
      <c r="P55">
        <v>1</v>
      </c>
      <c r="Q55" s="129" t="s">
        <v>155</v>
      </c>
      <c r="R55" s="65">
        <v>0</v>
      </c>
      <c r="S55" s="121">
        <v>1110</v>
      </c>
      <c r="T55" s="4"/>
      <c r="AM55" s="3"/>
      <c r="AN55" s="163">
        <v>-1200</v>
      </c>
      <c r="AO55" s="66" t="e">
        <f>AO54</f>
        <v>#VALUE!</v>
      </c>
      <c r="AP55" s="61" t="b">
        <f t="shared" si="1"/>
        <v>1</v>
      </c>
      <c r="AQ55" s="43">
        <f t="shared" si="2"/>
        <v>0</v>
      </c>
      <c r="AR55" s="67" t="e">
        <f>AR54</f>
        <v>#VALUE!</v>
      </c>
      <c r="AS55" s="61" t="b">
        <f t="shared" si="3"/>
        <v>1</v>
      </c>
      <c r="AT55" s="43">
        <f t="shared" si="4"/>
        <v>0</v>
      </c>
      <c r="AW55" s="62"/>
      <c r="AX55" s="152" t="e">
        <f>AX54-AW16</f>
        <v>#VALUE!</v>
      </c>
      <c r="AY55" s="9"/>
      <c r="AZ55" s="153" t="e">
        <f>AZ54-AY16</f>
        <v>#VALUE!</v>
      </c>
      <c r="BC55" s="79" t="s">
        <v>118</v>
      </c>
      <c r="BD55" s="9" t="b">
        <v>0</v>
      </c>
      <c r="BE55" s="9" t="b">
        <v>0</v>
      </c>
      <c r="BF55" s="63"/>
      <c r="BH55">
        <f>IF(BE55=TRUE,1,0)</f>
        <v>0</v>
      </c>
      <c r="BJ55" t="s">
        <v>1920</v>
      </c>
    </row>
    <row r="56" spans="2:62" ht="15.75" thickTop="1" x14ac:dyDescent="0.25">
      <c r="I56" s="60" t="str">
        <f t="shared" si="11"/>
        <v>318</v>
      </c>
      <c r="J56">
        <f t="shared" si="17"/>
        <v>3</v>
      </c>
      <c r="K56" s="129">
        <v>18</v>
      </c>
      <c r="L56" s="61">
        <f t="shared" si="12"/>
        <v>-473</v>
      </c>
      <c r="M56" s="38" t="e">
        <f>VLOOKUP(I56,$O$5:$S$1055,5,0)+D25</f>
        <v>#VALUE!</v>
      </c>
      <c r="O56" t="str">
        <f t="shared" si="6"/>
        <v>119</v>
      </c>
      <c r="P56">
        <v>1</v>
      </c>
      <c r="Q56" s="129">
        <v>19</v>
      </c>
      <c r="R56" s="62">
        <v>0</v>
      </c>
      <c r="S56" s="121">
        <v>1110</v>
      </c>
      <c r="T56" s="4"/>
      <c r="AI56" t="str">
        <f t="shared" ref="AI56" si="129">IFERROR(IF(AO56="","",$AI$2&amp;" "&amp;AO56),"")</f>
        <v/>
      </c>
      <c r="AJ56" t="s">
        <v>239</v>
      </c>
      <c r="AK56">
        <f t="shared" ref="AK56" si="130">AQ56/10</f>
        <v>0</v>
      </c>
      <c r="AL56" t="b">
        <f t="shared" ref="AL56" si="131">ISERR(AK56)</f>
        <v>0</v>
      </c>
      <c r="AM56" s="3">
        <f t="shared" ref="AM56" si="132">IF(AL56=TRUE,0,AK56)</f>
        <v>0</v>
      </c>
      <c r="AN56" s="33">
        <v>-1500</v>
      </c>
      <c r="AO56" s="61" t="e">
        <f>IF(($M$56+500)&gt;AR56,AR56,"")</f>
        <v>#VALUE!</v>
      </c>
      <c r="AP56" s="61" t="b">
        <f t="shared" si="1"/>
        <v>1</v>
      </c>
      <c r="AQ56" s="43">
        <f t="shared" si="2"/>
        <v>0</v>
      </c>
      <c r="AR56" s="38" t="e">
        <f>IF((AR54+$AZ$12)&gt;$AX$12,"",AR54+$AZ$12)</f>
        <v>#VALUE!</v>
      </c>
      <c r="AS56" s="61" t="b">
        <f t="shared" si="3"/>
        <v>1</v>
      </c>
      <c r="AT56" s="43">
        <f t="shared" si="4"/>
        <v>0</v>
      </c>
      <c r="AW56" s="65"/>
      <c r="AX56" s="66"/>
      <c r="AY56" s="66"/>
      <c r="AZ56" s="67"/>
      <c r="BC56" s="79" t="s">
        <v>119</v>
      </c>
      <c r="BD56" s="9" t="b">
        <v>0</v>
      </c>
      <c r="BE56" s="9" t="b">
        <v>0</v>
      </c>
      <c r="BF56" s="63"/>
      <c r="BH56">
        <f t="shared" ref="BH56:BH58" si="133">IF(BE56=TRUE,1,0)</f>
        <v>0</v>
      </c>
      <c r="BJ56" t="b">
        <f>IF(OR(BE56=TRUE,BE57=TRUE),TRUE,FALSE)</f>
        <v>0</v>
      </c>
    </row>
    <row r="57" spans="2:62" x14ac:dyDescent="0.25">
      <c r="I57" s="60" t="str">
        <f t="shared" si="11"/>
        <v>318a</v>
      </c>
      <c r="J57">
        <f t="shared" si="17"/>
        <v>3</v>
      </c>
      <c r="K57" s="129" t="s">
        <v>155</v>
      </c>
      <c r="L57" s="61">
        <f t="shared" si="12"/>
        <v>0</v>
      </c>
      <c r="M57" s="38" t="e">
        <f>VLOOKUP(I57,$O$5:$S$1055,5,0)+D25</f>
        <v>#VALUE!</v>
      </c>
      <c r="O57" t="str">
        <f t="shared" si="6"/>
        <v>119a</v>
      </c>
      <c r="P57">
        <v>1</v>
      </c>
      <c r="Q57" s="129" t="s">
        <v>156</v>
      </c>
      <c r="R57" s="65">
        <v>196</v>
      </c>
      <c r="S57" s="121">
        <v>1110</v>
      </c>
      <c r="T57" s="4"/>
      <c r="AM57" s="3"/>
      <c r="AN57" s="163">
        <v>-1200</v>
      </c>
      <c r="AO57" s="66" t="e">
        <f>AO56</f>
        <v>#VALUE!</v>
      </c>
      <c r="AP57" s="61" t="b">
        <f t="shared" si="1"/>
        <v>1</v>
      </c>
      <c r="AQ57" s="43">
        <f t="shared" si="2"/>
        <v>0</v>
      </c>
      <c r="AR57" s="67" t="e">
        <f>AR56</f>
        <v>#VALUE!</v>
      </c>
      <c r="AS57" s="61" t="b">
        <f t="shared" si="3"/>
        <v>1</v>
      </c>
      <c r="AT57" s="43">
        <f t="shared" si="4"/>
        <v>0</v>
      </c>
      <c r="BC57" s="79" t="s">
        <v>116</v>
      </c>
      <c r="BD57" s="9" t="b">
        <v>0</v>
      </c>
      <c r="BE57" s="9" t="b">
        <v>0</v>
      </c>
      <c r="BF57" s="63"/>
      <c r="BH57">
        <f t="shared" si="133"/>
        <v>0</v>
      </c>
      <c r="BJ57" t="b">
        <f>IF(AND(BJ56=TRUE,Tabelle2!Q91=TRUE,C12=TRUE),TRUE,FALSE)</f>
        <v>0</v>
      </c>
    </row>
    <row r="58" spans="2:62" x14ac:dyDescent="0.25">
      <c r="I58" s="60" t="str">
        <f t="shared" si="11"/>
        <v>319</v>
      </c>
      <c r="J58">
        <f t="shared" si="17"/>
        <v>3</v>
      </c>
      <c r="K58" s="129">
        <v>19</v>
      </c>
      <c r="L58" s="61">
        <f t="shared" si="12"/>
        <v>0</v>
      </c>
      <c r="M58" s="166" t="e">
        <f>VLOOKUP(I58,$O$5:$S$1055,5,0)+D25</f>
        <v>#VALUE!</v>
      </c>
      <c r="N58" s="71" t="e">
        <f>ROUND(M58,0)</f>
        <v>#VALUE!</v>
      </c>
      <c r="O58" t="str">
        <f t="shared" si="6"/>
        <v>120</v>
      </c>
      <c r="P58">
        <v>1</v>
      </c>
      <c r="Q58" s="129">
        <v>20</v>
      </c>
      <c r="R58" s="65">
        <v>196</v>
      </c>
      <c r="S58" s="121">
        <v>1110</v>
      </c>
      <c r="T58" s="4"/>
      <c r="AI58" t="str">
        <f t="shared" ref="AI58" si="134">IFERROR(IF(AO58="","",$AI$2&amp;" "&amp;AO58),"")</f>
        <v/>
      </c>
      <c r="AJ58" t="s">
        <v>240</v>
      </c>
      <c r="AK58">
        <f t="shared" ref="AK58" si="135">AQ58/10</f>
        <v>0</v>
      </c>
      <c r="AL58" t="b">
        <f t="shared" ref="AL58" si="136">ISERR(AK58)</f>
        <v>0</v>
      </c>
      <c r="AM58" s="3">
        <f t="shared" ref="AM58" si="137">IF(AL58=TRUE,0,AK58)</f>
        <v>0</v>
      </c>
      <c r="AN58" s="33">
        <v>-1500</v>
      </c>
      <c r="AO58" s="61" t="e">
        <f>IF(($M$56+500)&gt;AR58,AR58,"")</f>
        <v>#VALUE!</v>
      </c>
      <c r="AP58" s="61" t="b">
        <f t="shared" si="1"/>
        <v>1</v>
      </c>
      <c r="AQ58" s="43">
        <f t="shared" si="2"/>
        <v>0</v>
      </c>
      <c r="AR58" s="38" t="e">
        <f>IF((AR56+$AZ$12)&gt;$AX$12,"",AR56+$AZ$12)</f>
        <v>#VALUE!</v>
      </c>
      <c r="AS58" s="61" t="b">
        <f t="shared" si="3"/>
        <v>1</v>
      </c>
      <c r="AT58" s="43">
        <f t="shared" si="4"/>
        <v>0</v>
      </c>
      <c r="AW58" s="60">
        <v>600</v>
      </c>
      <c r="AX58" s="61" t="b">
        <f t="shared" ref="AX58:AX65" si="138">C7</f>
        <v>0</v>
      </c>
      <c r="AY58" t="str">
        <f>IF(AX58=TRUE,0,"")</f>
        <v/>
      </c>
      <c r="BC58" s="80" t="s">
        <v>117</v>
      </c>
      <c r="BD58" s="66" t="b">
        <v>0</v>
      </c>
      <c r="BE58" s="66" t="b">
        <v>0</v>
      </c>
      <c r="BF58" s="67"/>
      <c r="BH58">
        <f t="shared" si="133"/>
        <v>0</v>
      </c>
      <c r="BJ58" t="b">
        <f>IF(AND(BJ56=TRUE,Tabelle2!Q91=TRUE,C13=TRUE),TRUE,FALSE)</f>
        <v>0</v>
      </c>
    </row>
    <row r="59" spans="2:62" x14ac:dyDescent="0.25">
      <c r="I59" s="60" t="str">
        <f t="shared" si="11"/>
        <v>319a</v>
      </c>
      <c r="J59">
        <f t="shared" si="17"/>
        <v>3</v>
      </c>
      <c r="K59" s="129" t="s">
        <v>156</v>
      </c>
      <c r="L59" s="61">
        <f t="shared" si="12"/>
        <v>177</v>
      </c>
      <c r="M59" s="38" t="e">
        <f>VLOOKUP(I59,$O$5:$S$1055,5,0)+D25</f>
        <v>#VALUE!</v>
      </c>
      <c r="O59" t="str">
        <f t="shared" si="6"/>
        <v>120a</v>
      </c>
      <c r="P59">
        <v>1</v>
      </c>
      <c r="Q59" s="129" t="s">
        <v>157</v>
      </c>
      <c r="R59" s="65">
        <v>196</v>
      </c>
      <c r="S59" s="63">
        <f t="shared" ref="S59:S69" si="139">$S$42</f>
        <v>850</v>
      </c>
      <c r="T59" s="4"/>
      <c r="AM59" s="3"/>
      <c r="AN59" s="163">
        <v>-1200</v>
      </c>
      <c r="AO59" s="66" t="e">
        <f>AO58</f>
        <v>#VALUE!</v>
      </c>
      <c r="AP59" s="61" t="b">
        <f t="shared" si="1"/>
        <v>1</v>
      </c>
      <c r="AQ59" s="43">
        <f t="shared" si="2"/>
        <v>0</v>
      </c>
      <c r="AR59" s="67" t="e">
        <f>AR58</f>
        <v>#VALUE!</v>
      </c>
      <c r="AS59" s="61" t="b">
        <f t="shared" si="3"/>
        <v>1</v>
      </c>
      <c r="AT59" s="43">
        <f t="shared" si="4"/>
        <v>0</v>
      </c>
      <c r="AW59" s="62">
        <v>800</v>
      </c>
      <c r="AX59" s="61" t="b">
        <f t="shared" si="138"/>
        <v>0</v>
      </c>
      <c r="AY59" t="str">
        <f>IF(AX59=TRUE,$AX$55,"")</f>
        <v/>
      </c>
      <c r="BG59" s="28"/>
      <c r="BH59" s="28">
        <f>SUM(BH55:BH58)</f>
        <v>0</v>
      </c>
    </row>
    <row r="60" spans="2:62" x14ac:dyDescent="0.25">
      <c r="I60" s="60" t="str">
        <f t="shared" si="11"/>
        <v>320</v>
      </c>
      <c r="J60">
        <f t="shared" si="17"/>
        <v>3</v>
      </c>
      <c r="K60" s="129">
        <v>20</v>
      </c>
      <c r="L60" s="61">
        <f t="shared" si="12"/>
        <v>177</v>
      </c>
      <c r="M60" s="38" t="e">
        <f>VLOOKUP(I60,$O$5:$S$1055,5,0)+D25</f>
        <v>#VALUE!</v>
      </c>
      <c r="O60" t="str">
        <f t="shared" si="6"/>
        <v>121</v>
      </c>
      <c r="P60">
        <v>1</v>
      </c>
      <c r="Q60" s="129">
        <v>21</v>
      </c>
      <c r="R60" s="65">
        <v>196</v>
      </c>
      <c r="S60" s="38">
        <f t="shared" si="139"/>
        <v>850</v>
      </c>
      <c r="T60" s="4"/>
      <c r="AI60" t="str">
        <f t="shared" ref="AI60" si="140">IFERROR(IF(AO60="","",$AI$2&amp;" "&amp;AO60),"")</f>
        <v/>
      </c>
      <c r="AJ60" t="s">
        <v>241</v>
      </c>
      <c r="AK60">
        <f t="shared" ref="AK60" si="141">AQ60/10</f>
        <v>0</v>
      </c>
      <c r="AL60" t="b">
        <f t="shared" ref="AL60" si="142">ISERR(AK60)</f>
        <v>0</v>
      </c>
      <c r="AM60" s="3">
        <f t="shared" ref="AM60" si="143">IF(AL60=TRUE,0,AK60)</f>
        <v>0</v>
      </c>
      <c r="AN60" s="33">
        <v>-1500</v>
      </c>
      <c r="AO60" s="61" t="e">
        <f>IF(($M$56+500)&gt;AR60,AR60,"")</f>
        <v>#VALUE!</v>
      </c>
      <c r="AP60" s="61" t="b">
        <f t="shared" si="1"/>
        <v>1</v>
      </c>
      <c r="AQ60" s="43">
        <f t="shared" si="2"/>
        <v>0</v>
      </c>
      <c r="AR60" s="38" t="e">
        <f>IF((AR58+$AZ$12)&gt;$AX$12,"",AR58+$AZ$12)</f>
        <v>#VALUE!</v>
      </c>
      <c r="AS60" s="61" t="b">
        <f t="shared" si="3"/>
        <v>1</v>
      </c>
      <c r="AT60" s="43">
        <f t="shared" si="4"/>
        <v>0</v>
      </c>
      <c r="AW60" s="62">
        <v>1000</v>
      </c>
      <c r="AX60" s="61" t="b">
        <f t="shared" si="138"/>
        <v>1</v>
      </c>
      <c r="AY60" t="e">
        <f>IF(AX60=TRUE,$AX$55,"")</f>
        <v>#VALUE!</v>
      </c>
      <c r="BC60">
        <v>800</v>
      </c>
      <c r="BD60" s="60">
        <f>IF(BD52=TRUE,0.1,0)</f>
        <v>0</v>
      </c>
      <c r="BE60" s="61">
        <f>IF(BE52=TRUE,0.2,0)</f>
        <v>0</v>
      </c>
      <c r="BF60" s="38">
        <f>IF(BF52=TRUE,0.3,0)</f>
        <v>0</v>
      </c>
    </row>
    <row r="61" spans="2:62" x14ac:dyDescent="0.25">
      <c r="I61" s="60" t="str">
        <f t="shared" si="11"/>
        <v>320a</v>
      </c>
      <c r="J61">
        <f t="shared" si="17"/>
        <v>3</v>
      </c>
      <c r="K61" s="129" t="s">
        <v>157</v>
      </c>
      <c r="L61" s="61">
        <f t="shared" si="12"/>
        <v>177</v>
      </c>
      <c r="M61" s="38" t="e">
        <f>VLOOKUP(I61,$O$5:$S$1055,5,0)+D25</f>
        <v>#VALUE!</v>
      </c>
      <c r="O61" t="str">
        <f t="shared" si="6"/>
        <v>121a</v>
      </c>
      <c r="P61">
        <v>1</v>
      </c>
      <c r="Q61" s="129" t="s">
        <v>158</v>
      </c>
      <c r="R61" s="65">
        <v>315</v>
      </c>
      <c r="S61" s="63">
        <f t="shared" si="139"/>
        <v>850</v>
      </c>
      <c r="T61" s="4"/>
      <c r="AM61" s="3"/>
      <c r="AN61" s="163">
        <v>-1200</v>
      </c>
      <c r="AO61" s="66" t="e">
        <f>AO60</f>
        <v>#VALUE!</v>
      </c>
      <c r="AP61" s="61" t="b">
        <f t="shared" si="1"/>
        <v>1</v>
      </c>
      <c r="AQ61" s="43">
        <f t="shared" si="2"/>
        <v>0</v>
      </c>
      <c r="AR61" s="67" t="e">
        <f>AR60</f>
        <v>#VALUE!</v>
      </c>
      <c r="AS61" s="61" t="b">
        <f t="shared" si="3"/>
        <v>1</v>
      </c>
      <c r="AT61" s="43">
        <f t="shared" si="4"/>
        <v>0</v>
      </c>
      <c r="AW61" s="62" t="s">
        <v>193</v>
      </c>
      <c r="AX61" s="61" t="b">
        <f t="shared" si="138"/>
        <v>0</v>
      </c>
      <c r="AY61" t="str">
        <f>IF(AX61=TRUE,$AZ$55,"")</f>
        <v/>
      </c>
      <c r="BC61">
        <v>1000</v>
      </c>
      <c r="BD61" s="62">
        <f>IF(BD53=TRUE,0.1,0)</f>
        <v>0</v>
      </c>
      <c r="BE61" s="9">
        <f>IF(BE53=TRUE,0.2,0)</f>
        <v>0</v>
      </c>
      <c r="BF61" s="63">
        <f>IF(BF53=TRUE,0.3,0)</f>
        <v>0</v>
      </c>
    </row>
    <row r="62" spans="2:62" x14ac:dyDescent="0.25">
      <c r="I62" s="60" t="str">
        <f t="shared" si="11"/>
        <v>321</v>
      </c>
      <c r="J62">
        <f t="shared" si="17"/>
        <v>3</v>
      </c>
      <c r="K62" s="129">
        <v>21</v>
      </c>
      <c r="L62" s="61">
        <f t="shared" si="12"/>
        <v>177</v>
      </c>
      <c r="M62" s="38" t="e">
        <f>VLOOKUP(I62,$O$5:$S$1055,5,0)+D25</f>
        <v>#VALUE!</v>
      </c>
      <c r="O62" t="str">
        <f t="shared" si="6"/>
        <v>121b</v>
      </c>
      <c r="P62">
        <v>1</v>
      </c>
      <c r="Q62" s="129" t="s">
        <v>159</v>
      </c>
      <c r="R62" s="65">
        <v>315</v>
      </c>
      <c r="S62" s="63">
        <f t="shared" si="139"/>
        <v>850</v>
      </c>
      <c r="T62" s="4"/>
      <c r="AI62" t="str">
        <f t="shared" ref="AI62" si="144">IFERROR(IF(AO62="","",$AI$2&amp;" "&amp;AO62),"")</f>
        <v/>
      </c>
      <c r="AJ62" t="s">
        <v>242</v>
      </c>
      <c r="AK62">
        <f t="shared" ref="AK62" si="145">AQ62/10</f>
        <v>0</v>
      </c>
      <c r="AL62" t="b">
        <f t="shared" ref="AL62" si="146">ISERR(AK62)</f>
        <v>0</v>
      </c>
      <c r="AM62" s="3">
        <f t="shared" ref="AM62" si="147">IF(AL62=TRUE,0,AK62)</f>
        <v>0</v>
      </c>
      <c r="AN62" s="33">
        <v>-1500</v>
      </c>
      <c r="AO62" s="61" t="e">
        <f>IF(($M$56+500)&gt;AR62,AR62,"")</f>
        <v>#VALUE!</v>
      </c>
      <c r="AP62" s="61" t="b">
        <f t="shared" si="1"/>
        <v>1</v>
      </c>
      <c r="AQ62" s="43">
        <f t="shared" si="2"/>
        <v>0</v>
      </c>
      <c r="AR62" s="38" t="e">
        <f>IF((AR60+$AZ$12)&gt;$AX$12,"",AR60+$AZ$12)</f>
        <v>#VALUE!</v>
      </c>
      <c r="AS62" s="61" t="b">
        <f t="shared" si="3"/>
        <v>1</v>
      </c>
      <c r="AT62" s="43">
        <f t="shared" si="4"/>
        <v>0</v>
      </c>
      <c r="AW62" s="62" t="s">
        <v>194</v>
      </c>
      <c r="AX62" s="61" t="b">
        <f t="shared" si="138"/>
        <v>0</v>
      </c>
      <c r="AY62" t="str">
        <f>IF(AX62=TRUE,$AZ$55,"")</f>
        <v/>
      </c>
      <c r="BD62" s="62">
        <f>BD61+BD60+BE49+BE50</f>
        <v>1</v>
      </c>
      <c r="BE62" s="9">
        <f>BE61+BE60+BE49+BE50</f>
        <v>1</v>
      </c>
      <c r="BF62" s="63">
        <f>BF61+BF60+BE49+BE50</f>
        <v>1</v>
      </c>
    </row>
    <row r="63" spans="2:62" x14ac:dyDescent="0.25">
      <c r="I63" s="60" t="str">
        <f t="shared" si="11"/>
        <v>321a</v>
      </c>
      <c r="J63">
        <f t="shared" si="17"/>
        <v>3</v>
      </c>
      <c r="K63" s="129" t="s">
        <v>158</v>
      </c>
      <c r="L63" s="61">
        <f t="shared" si="12"/>
        <v>267.06902769567722</v>
      </c>
      <c r="M63" s="38" t="e">
        <f>VLOOKUP(I63,$O$5:$S$1055,5,0)+D25</f>
        <v>#VALUE!</v>
      </c>
      <c r="O63" t="str">
        <f t="shared" si="6"/>
        <v>121c</v>
      </c>
      <c r="P63">
        <v>1</v>
      </c>
      <c r="Q63" s="115" t="s">
        <v>188</v>
      </c>
      <c r="R63" s="65">
        <v>315</v>
      </c>
      <c r="S63" s="63">
        <f t="shared" si="139"/>
        <v>850</v>
      </c>
      <c r="T63" s="4"/>
      <c r="AM63" s="3"/>
      <c r="AN63" s="163">
        <v>-1200</v>
      </c>
      <c r="AO63" s="66" t="e">
        <f>AO62</f>
        <v>#VALUE!</v>
      </c>
      <c r="AP63" s="61" t="b">
        <f t="shared" si="1"/>
        <v>1</v>
      </c>
      <c r="AQ63" s="43">
        <f t="shared" si="2"/>
        <v>0</v>
      </c>
      <c r="AR63" s="67" t="e">
        <f>AR62</f>
        <v>#VALUE!</v>
      </c>
      <c r="AS63" s="61" t="b">
        <f t="shared" si="3"/>
        <v>1</v>
      </c>
      <c r="AT63" s="43">
        <f t="shared" si="4"/>
        <v>0</v>
      </c>
      <c r="AW63" s="62" t="s">
        <v>195</v>
      </c>
      <c r="AX63" s="61" t="b">
        <f t="shared" si="138"/>
        <v>0</v>
      </c>
      <c r="AY63" t="str">
        <f>IF(AX63=TRUE,$AZ$55,"")</f>
        <v/>
      </c>
      <c r="BC63" s="60"/>
      <c r="BD63" s="61" t="str">
        <f>IF(BD62=1.1,"Deckel 1t",IF(BE62=1.2,"Deckel -5t",IF(BF62=1.3,"Deckel D400","")))</f>
        <v/>
      </c>
      <c r="BE63" s="61"/>
      <c r="BF63" s="61"/>
      <c r="BG63" s="61"/>
      <c r="BH63" s="38"/>
      <c r="BI63" s="60"/>
      <c r="BJ63" s="38"/>
    </row>
    <row r="64" spans="2:62" x14ac:dyDescent="0.25">
      <c r="I64" s="60" t="str">
        <f t="shared" si="11"/>
        <v>321b</v>
      </c>
      <c r="J64">
        <f t="shared" si="17"/>
        <v>3</v>
      </c>
      <c r="K64" s="129" t="s">
        <v>159</v>
      </c>
      <c r="L64" s="61">
        <f t="shared" si="12"/>
        <v>351</v>
      </c>
      <c r="M64" s="38" t="e">
        <f>VLOOKUP(I64,$O$5:$S$1055,5,0)+D25</f>
        <v>#VALUE!</v>
      </c>
      <c r="O64" t="str">
        <f t="shared" si="6"/>
        <v>121d</v>
      </c>
      <c r="P64">
        <v>1</v>
      </c>
      <c r="Q64" s="115" t="s">
        <v>189</v>
      </c>
      <c r="R64" s="65">
        <v>315</v>
      </c>
      <c r="S64" s="63">
        <f t="shared" si="139"/>
        <v>850</v>
      </c>
      <c r="T64" s="4"/>
      <c r="AI64" t="str">
        <f t="shared" ref="AI64" si="148">IFERROR(IF(AO64="","",$AI$2&amp;" "&amp;AO64),"")</f>
        <v/>
      </c>
      <c r="AJ64" t="s">
        <v>243</v>
      </c>
      <c r="AK64">
        <f t="shared" ref="AK64" si="149">AQ64/10</f>
        <v>0</v>
      </c>
      <c r="AL64" t="b">
        <f t="shared" ref="AL64" si="150">ISERR(AK64)</f>
        <v>0</v>
      </c>
      <c r="AM64" s="3">
        <f t="shared" ref="AM64" si="151">IF(AL64=TRUE,0,AK64)</f>
        <v>0</v>
      </c>
      <c r="AN64" s="33">
        <v>-1500</v>
      </c>
      <c r="AO64" s="61" t="e">
        <f>IF(($M$56+500)&gt;AR64,AR64,"")</f>
        <v>#VALUE!</v>
      </c>
      <c r="AP64" s="61" t="b">
        <f t="shared" si="1"/>
        <v>1</v>
      </c>
      <c r="AQ64" s="43">
        <f t="shared" si="2"/>
        <v>0</v>
      </c>
      <c r="AR64" s="38" t="e">
        <f>IF((AR62+$AZ$12)&gt;$AX$12,"",AR62+$AZ$12)</f>
        <v>#VALUE!</v>
      </c>
      <c r="AS64" s="61" t="b">
        <f t="shared" si="3"/>
        <v>1</v>
      </c>
      <c r="AT64" s="43">
        <f t="shared" si="4"/>
        <v>0</v>
      </c>
      <c r="AW64" s="62" t="s">
        <v>196</v>
      </c>
      <c r="AX64" s="61" t="b">
        <f t="shared" si="138"/>
        <v>0</v>
      </c>
      <c r="BC64" s="65" t="s">
        <v>263</v>
      </c>
      <c r="BD64" s="66">
        <f>IF(BC64=BD63,17,0)</f>
        <v>0</v>
      </c>
      <c r="BE64" s="66"/>
      <c r="BF64" s="66" t="s">
        <v>262</v>
      </c>
      <c r="BG64" s="66">
        <f>IF(BF64=BD63,25,0)</f>
        <v>0</v>
      </c>
      <c r="BH64" s="67" t="s">
        <v>264</v>
      </c>
      <c r="BI64" s="65">
        <f>IF(BH64=BD63,3.5,0)</f>
        <v>0</v>
      </c>
      <c r="BJ64" s="67"/>
    </row>
    <row r="65" spans="9:61" x14ac:dyDescent="0.25">
      <c r="I65" s="60" t="str">
        <f t="shared" si="11"/>
        <v>321c</v>
      </c>
      <c r="J65">
        <f t="shared" si="17"/>
        <v>3</v>
      </c>
      <c r="K65" s="115" t="s">
        <v>188</v>
      </c>
      <c r="L65" s="61">
        <f t="shared" si="12"/>
        <v>423.07315985291859</v>
      </c>
      <c r="M65" s="38" t="e">
        <f>VLOOKUP(I65,$O$5:$S$1055,5,0)+D25</f>
        <v>#VALUE!</v>
      </c>
      <c r="O65" t="str">
        <f t="shared" si="6"/>
        <v>121e</v>
      </c>
      <c r="P65">
        <v>1</v>
      </c>
      <c r="Q65" s="115" t="s">
        <v>190</v>
      </c>
      <c r="R65" s="65">
        <v>315</v>
      </c>
      <c r="S65" s="63">
        <f t="shared" si="139"/>
        <v>850</v>
      </c>
      <c r="T65" s="4"/>
      <c r="AM65" s="3"/>
      <c r="AN65" s="163">
        <v>-1200</v>
      </c>
      <c r="AO65" s="66" t="e">
        <f>AO64</f>
        <v>#VALUE!</v>
      </c>
      <c r="AP65" s="61" t="b">
        <f t="shared" si="1"/>
        <v>1</v>
      </c>
      <c r="AQ65" s="43">
        <f t="shared" si="2"/>
        <v>0</v>
      </c>
      <c r="AR65" s="67" t="e">
        <f>AR64</f>
        <v>#VALUE!</v>
      </c>
      <c r="AS65" s="61" t="b">
        <f t="shared" si="3"/>
        <v>1</v>
      </c>
      <c r="AT65" s="43">
        <f t="shared" si="4"/>
        <v>0</v>
      </c>
      <c r="AW65" s="65" t="s">
        <v>197</v>
      </c>
      <c r="AX65" s="154" t="b">
        <f t="shared" si="138"/>
        <v>0</v>
      </c>
      <c r="BD65">
        <f>BD64+BG64+BI64</f>
        <v>0</v>
      </c>
    </row>
    <row r="66" spans="9:61" ht="15.75" thickBot="1" x14ac:dyDescent="0.3">
      <c r="I66" s="60" t="str">
        <f t="shared" si="11"/>
        <v>321d</v>
      </c>
      <c r="J66">
        <f t="shared" si="17"/>
        <v>3</v>
      </c>
      <c r="K66" s="115" t="s">
        <v>189</v>
      </c>
      <c r="L66" s="61">
        <f t="shared" si="12"/>
        <v>478.37684051698466</v>
      </c>
      <c r="M66" s="38" t="e">
        <f>VLOOKUP(I66,$O$5:$S$1055,5,0)+D25</f>
        <v>#VALUE!</v>
      </c>
      <c r="O66" t="str">
        <f t="shared" si="6"/>
        <v>121f</v>
      </c>
      <c r="P66">
        <v>1</v>
      </c>
      <c r="Q66" s="115" t="s">
        <v>191</v>
      </c>
      <c r="R66" s="65">
        <v>315</v>
      </c>
      <c r="S66" s="67">
        <f t="shared" si="139"/>
        <v>850</v>
      </c>
      <c r="T66" s="4"/>
      <c r="AI66" t="str">
        <f t="shared" ref="AI66" si="152">IFERROR(IF(AO66="","",$AI$2&amp;" "&amp;AO66),"")</f>
        <v/>
      </c>
      <c r="AJ66" t="s">
        <v>244</v>
      </c>
      <c r="AK66">
        <f t="shared" ref="AK66" si="153">AQ66/10</f>
        <v>0</v>
      </c>
      <c r="AL66" t="b">
        <f t="shared" ref="AL66" si="154">ISERR(AK66)</f>
        <v>0</v>
      </c>
      <c r="AM66" s="3">
        <f t="shared" ref="AM66" si="155">IF(AL66=TRUE,0,AK66)</f>
        <v>0</v>
      </c>
      <c r="AN66" s="33">
        <v>-1500</v>
      </c>
      <c r="AO66" s="61" t="e">
        <f>IF(($M$56+500)&gt;AR66,AR66,"")</f>
        <v>#VALUE!</v>
      </c>
      <c r="AP66" s="61" t="b">
        <f t="shared" si="1"/>
        <v>1</v>
      </c>
      <c r="AQ66" s="43">
        <f t="shared" si="2"/>
        <v>0</v>
      </c>
      <c r="AR66" s="38" t="e">
        <f>IF((AR64+$AZ$12)&gt;$AX$12,"",AR64+$AZ$12)</f>
        <v>#VALUE!</v>
      </c>
      <c r="AS66" s="61" t="b">
        <f t="shared" si="3"/>
        <v>1</v>
      </c>
      <c r="AT66" s="43">
        <f t="shared" si="4"/>
        <v>0</v>
      </c>
      <c r="AY66" s="152" t="e">
        <f>SUM(AY58:AY65)</f>
        <v>#VALUE!</v>
      </c>
    </row>
    <row r="67" spans="9:61" ht="16.5" thickTop="1" thickBot="1" x14ac:dyDescent="0.3">
      <c r="I67" s="60" t="str">
        <f t="shared" si="11"/>
        <v>321e</v>
      </c>
      <c r="J67">
        <f t="shared" si="17"/>
        <v>3</v>
      </c>
      <c r="K67" s="115" t="s">
        <v>190</v>
      </c>
      <c r="L67" s="61">
        <f t="shared" si="12"/>
        <v>513.14218754859576</v>
      </c>
      <c r="M67" s="38" t="e">
        <f>VLOOKUP(I67,$O$5:$S$1055,5,0)+D25</f>
        <v>#VALUE!</v>
      </c>
      <c r="O67" t="str">
        <f t="shared" si="6"/>
        <v>122</v>
      </c>
      <c r="P67">
        <v>1</v>
      </c>
      <c r="Q67" s="129">
        <v>22</v>
      </c>
      <c r="R67" s="65">
        <v>315</v>
      </c>
      <c r="S67" s="63">
        <f t="shared" si="139"/>
        <v>850</v>
      </c>
      <c r="T67" s="4"/>
      <c r="AM67" s="5"/>
      <c r="AN67" s="164">
        <v>-1200</v>
      </c>
      <c r="AO67" s="66" t="e">
        <f>AO66</f>
        <v>#VALUE!</v>
      </c>
      <c r="AP67" s="61" t="b">
        <f t="shared" si="1"/>
        <v>1</v>
      </c>
      <c r="AQ67" s="161">
        <f t="shared" si="2"/>
        <v>0</v>
      </c>
      <c r="AR67" s="67" t="e">
        <f>AR66</f>
        <v>#VALUE!</v>
      </c>
      <c r="AS67" s="61" t="b">
        <f t="shared" si="3"/>
        <v>1</v>
      </c>
      <c r="AT67" s="161">
        <f t="shared" si="4"/>
        <v>0</v>
      </c>
      <c r="BD67" t="s">
        <v>276</v>
      </c>
    </row>
    <row r="68" spans="9:61" x14ac:dyDescent="0.25">
      <c r="I68" s="60" t="str">
        <f t="shared" si="11"/>
        <v>321f</v>
      </c>
      <c r="J68">
        <f t="shared" si="17"/>
        <v>3</v>
      </c>
      <c r="K68" s="115" t="s">
        <v>191</v>
      </c>
      <c r="L68" s="61">
        <f t="shared" si="12"/>
        <v>525</v>
      </c>
      <c r="M68" s="38" t="e">
        <f>VLOOKUP(I68,$O$5:$S$1055,5,0)+D25</f>
        <v>#VALUE!</v>
      </c>
      <c r="O68" t="str">
        <f t="shared" si="6"/>
        <v>122a</v>
      </c>
      <c r="P68">
        <v>1</v>
      </c>
      <c r="Q68" s="129" t="s">
        <v>160</v>
      </c>
      <c r="R68" s="65">
        <v>315</v>
      </c>
      <c r="S68" s="67">
        <f t="shared" si="139"/>
        <v>850</v>
      </c>
      <c r="T68" s="4"/>
      <c r="AN68" s="62"/>
      <c r="BD68" t="s">
        <v>209</v>
      </c>
      <c r="BE68" t="s">
        <v>206</v>
      </c>
    </row>
    <row r="69" spans="9:61" x14ac:dyDescent="0.25">
      <c r="I69" s="60" t="str">
        <f t="shared" si="11"/>
        <v>322</v>
      </c>
      <c r="J69">
        <f t="shared" si="17"/>
        <v>3</v>
      </c>
      <c r="K69" s="129">
        <v>22</v>
      </c>
      <c r="L69" s="61">
        <f t="shared" si="12"/>
        <v>525</v>
      </c>
      <c r="M69" s="38" t="e">
        <f>VLOOKUP(I69,$O$5:$S$1055,5,0)+D25</f>
        <v>#VALUE!</v>
      </c>
      <c r="O69" t="str">
        <f t="shared" si="6"/>
        <v>123</v>
      </c>
      <c r="P69">
        <v>1</v>
      </c>
      <c r="Q69" s="129">
        <v>23</v>
      </c>
      <c r="R69" s="65">
        <v>315</v>
      </c>
      <c r="S69" s="38">
        <f t="shared" si="139"/>
        <v>850</v>
      </c>
      <c r="T69" s="4"/>
      <c r="AN69" s="65"/>
      <c r="BC69" t="e">
        <f>IF($M$58&gt;6000,"Schächte mit Überhöhen bitte Anfragen","")</f>
        <v>#VALUE!</v>
      </c>
      <c r="BD69" s="60" t="e">
        <f>IF(BE69="","",1500)</f>
        <v>#VALUE!</v>
      </c>
      <c r="BE69" s="38" t="e">
        <f>IF($M$58&gt;6000,6000,"")</f>
        <v>#VALUE!</v>
      </c>
    </row>
    <row r="70" spans="9:61" x14ac:dyDescent="0.25">
      <c r="I70" s="60" t="str">
        <f t="shared" si="11"/>
        <v>322a</v>
      </c>
      <c r="J70">
        <f t="shared" si="17"/>
        <v>3</v>
      </c>
      <c r="K70" s="129" t="s">
        <v>160</v>
      </c>
      <c r="L70" s="61">
        <f t="shared" si="12"/>
        <v>525</v>
      </c>
      <c r="M70" s="38" t="e">
        <f>VLOOKUP(I70,$O$5:$S$1055,5,0)</f>
        <v>#VALUE!</v>
      </c>
      <c r="O70" t="str">
        <f t="shared" ref="O70:O133" si="156">P70&amp;Q70</f>
        <v>123a</v>
      </c>
      <c r="P70">
        <v>1</v>
      </c>
      <c r="Q70" s="129" t="s">
        <v>161</v>
      </c>
      <c r="R70" s="65">
        <v>315</v>
      </c>
      <c r="S70" s="67">
        <v>0</v>
      </c>
      <c r="T70" s="4"/>
      <c r="AN70" s="60"/>
      <c r="BD70" s="60" t="e">
        <f>IF(BE70="","",-700)</f>
        <v>#VALUE!</v>
      </c>
      <c r="BE70" s="63" t="e">
        <f>BE69</f>
        <v>#VALUE!</v>
      </c>
    </row>
    <row r="71" spans="9:61" x14ac:dyDescent="0.25">
      <c r="I71" s="60" t="str">
        <f t="shared" si="11"/>
        <v>323</v>
      </c>
      <c r="J71">
        <f t="shared" si="17"/>
        <v>3</v>
      </c>
      <c r="K71" s="129">
        <v>23</v>
      </c>
      <c r="L71" s="61">
        <f t="shared" si="12"/>
        <v>525</v>
      </c>
      <c r="M71" s="38" t="e">
        <f>VLOOKUP(I71,$O$5:$S$1055,5,0)</f>
        <v>#VALUE!</v>
      </c>
      <c r="O71" t="str">
        <f t="shared" si="156"/>
        <v>124</v>
      </c>
      <c r="P71">
        <v>1</v>
      </c>
      <c r="Q71" s="129">
        <v>24</v>
      </c>
      <c r="R71" s="65">
        <v>315</v>
      </c>
      <c r="S71" s="38">
        <v>0</v>
      </c>
      <c r="T71" s="4"/>
      <c r="AN71" s="65"/>
      <c r="BD71" s="60" t="e">
        <f t="shared" ref="BD71" si="157">BD69</f>
        <v>#VALUE!</v>
      </c>
      <c r="BE71" s="38" t="e">
        <f>BE69</f>
        <v>#VALUE!</v>
      </c>
    </row>
    <row r="72" spans="9:61" ht="15.75" thickBot="1" x14ac:dyDescent="0.3">
      <c r="I72" s="60" t="str">
        <f t="shared" ref="I72:I88" si="158">J72&amp;K72</f>
        <v>323a</v>
      </c>
      <c r="J72">
        <f t="shared" si="17"/>
        <v>3</v>
      </c>
      <c r="K72" s="129" t="s">
        <v>161</v>
      </c>
      <c r="L72" s="61">
        <f t="shared" ref="L72:L78" si="159">VLOOKUP(I72,$O$5:$S$1055,4,0)</f>
        <v>525</v>
      </c>
      <c r="M72" s="38">
        <f t="shared" ref="M72:M74" si="160">VLOOKUP(I72,$O$5:$S$1055,5,0)</f>
        <v>0</v>
      </c>
      <c r="O72" t="str">
        <f t="shared" si="156"/>
        <v>124a</v>
      </c>
      <c r="P72">
        <v>1</v>
      </c>
      <c r="Q72" s="129" t="s">
        <v>162</v>
      </c>
      <c r="R72" s="65">
        <v>0</v>
      </c>
      <c r="S72" s="67">
        <v>0</v>
      </c>
      <c r="T72" s="4"/>
      <c r="AN72" s="60"/>
      <c r="BD72" s="60" t="e">
        <f>IF(BE72="","",-1500)</f>
        <v>#VALUE!</v>
      </c>
      <c r="BE72" s="38" t="e">
        <f>BE69</f>
        <v>#VALUE!</v>
      </c>
    </row>
    <row r="73" spans="9:61" x14ac:dyDescent="0.25">
      <c r="I73" s="60" t="str">
        <f t="shared" si="158"/>
        <v>324</v>
      </c>
      <c r="J73">
        <f t="shared" ref="J73:J78" si="161">J72</f>
        <v>3</v>
      </c>
      <c r="K73" s="129">
        <v>24</v>
      </c>
      <c r="L73" s="61">
        <f t="shared" si="159"/>
        <v>525</v>
      </c>
      <c r="M73" s="38">
        <f t="shared" si="160"/>
        <v>0</v>
      </c>
      <c r="O73" t="str">
        <f t="shared" si="156"/>
        <v>125</v>
      </c>
      <c r="P73">
        <v>1</v>
      </c>
      <c r="Q73" s="129">
        <v>25</v>
      </c>
      <c r="R73" s="118">
        <v>-163.69999999999999</v>
      </c>
      <c r="S73" s="124">
        <f>$S$57</f>
        <v>1110</v>
      </c>
      <c r="T73" s="4" t="s">
        <v>165</v>
      </c>
      <c r="AN73" s="65"/>
      <c r="BD73" s="1"/>
      <c r="BE73" s="8"/>
      <c r="BF73" s="8"/>
      <c r="BG73" s="8"/>
      <c r="BH73" s="2"/>
    </row>
    <row r="74" spans="9:61" x14ac:dyDescent="0.25">
      <c r="I74" s="60" t="str">
        <f t="shared" si="158"/>
        <v>324a</v>
      </c>
      <c r="J74">
        <f t="shared" si="161"/>
        <v>3</v>
      </c>
      <c r="K74" s="129" t="s">
        <v>162</v>
      </c>
      <c r="L74" s="61">
        <f t="shared" si="159"/>
        <v>0</v>
      </c>
      <c r="M74" s="38">
        <f t="shared" si="160"/>
        <v>0</v>
      </c>
      <c r="O74" t="str">
        <f t="shared" si="156"/>
        <v>125a</v>
      </c>
      <c r="P74">
        <v>1</v>
      </c>
      <c r="Q74" s="129" t="s">
        <v>166</v>
      </c>
      <c r="R74" s="118">
        <v>-163.69999999999999</v>
      </c>
      <c r="S74" s="124">
        <f>$S$22</f>
        <v>1050</v>
      </c>
      <c r="T74" s="4"/>
      <c r="AN74" s="60"/>
      <c r="BD74" s="176" t="str">
        <f>IF(Schachtselector!E184&gt;0.1,"U-Apparat "&amp;BI76,"")</f>
        <v/>
      </c>
      <c r="BE74" s="28"/>
      <c r="BF74" s="28"/>
      <c r="BG74" s="28"/>
      <c r="BH74" s="177"/>
    </row>
    <row r="75" spans="9:61" ht="15.75" thickBot="1" x14ac:dyDescent="0.3">
      <c r="I75" s="60" t="str">
        <f t="shared" si="158"/>
        <v>325</v>
      </c>
      <c r="J75">
        <f t="shared" si="161"/>
        <v>3</v>
      </c>
      <c r="K75" s="129">
        <v>25</v>
      </c>
      <c r="L75" s="61">
        <f t="shared" si="159"/>
        <v>-448</v>
      </c>
      <c r="M75" s="38" t="e">
        <f>VLOOKUP(I75,$O$5:$S$1055,5,0)+D25</f>
        <v>#VALUE!</v>
      </c>
      <c r="O75" t="str">
        <f t="shared" si="156"/>
        <v>126</v>
      </c>
      <c r="P75">
        <v>1</v>
      </c>
      <c r="Q75" s="129">
        <v>26</v>
      </c>
      <c r="R75" s="131">
        <v>163.69999999999999</v>
      </c>
      <c r="S75" s="125">
        <f>$S$57</f>
        <v>1110</v>
      </c>
      <c r="T75" s="4"/>
      <c r="AN75" s="65"/>
      <c r="BD75" s="176" t="s">
        <v>209</v>
      </c>
      <c r="BE75" s="28" t="s">
        <v>206</v>
      </c>
      <c r="BF75" s="28" t="s">
        <v>277</v>
      </c>
      <c r="BG75" s="28" t="s">
        <v>278</v>
      </c>
      <c r="BH75" s="177"/>
    </row>
    <row r="76" spans="9:61" ht="15.75" thickBot="1" x14ac:dyDescent="0.3">
      <c r="I76" s="60" t="str">
        <f t="shared" si="158"/>
        <v>325a</v>
      </c>
      <c r="J76">
        <f t="shared" si="161"/>
        <v>3</v>
      </c>
      <c r="K76" s="129" t="s">
        <v>166</v>
      </c>
      <c r="L76" s="61">
        <f t="shared" si="159"/>
        <v>-448</v>
      </c>
      <c r="M76" s="38" t="e">
        <f>VLOOKUP(I76,$O$5:$S$1055,5,0)+D25</f>
        <v>#VALUE!</v>
      </c>
      <c r="O76" t="str">
        <f t="shared" si="156"/>
        <v>126a</v>
      </c>
      <c r="P76">
        <v>1</v>
      </c>
      <c r="Q76" s="130" t="s">
        <v>167</v>
      </c>
      <c r="R76" s="131">
        <v>163.69999999999999</v>
      </c>
      <c r="S76" s="132">
        <f>$S$22</f>
        <v>1050</v>
      </c>
      <c r="T76" s="6"/>
      <c r="BD76" s="176" t="str">
        <f>IF(BD78="","",450)</f>
        <v/>
      </c>
      <c r="BE76" s="28">
        <f>IF(BD78="",-1000,$BH$76)</f>
        <v>-1000</v>
      </c>
      <c r="BF76" s="28" t="str">
        <f>IF(BD78="","",$M$59)</f>
        <v/>
      </c>
      <c r="BG76" s="28" t="str">
        <f>IF(BD78="","",BM24)</f>
        <v/>
      </c>
      <c r="BH76" s="177" t="str">
        <f>IF(BD78="","",ROUND(BF76-BG76,0))</f>
        <v/>
      </c>
      <c r="BI76" t="str">
        <f>IF(Tabelle3!BD78="","",Schachtselector!$E$182-(BG76/1000))</f>
        <v/>
      </c>
    </row>
    <row r="77" spans="9:61" x14ac:dyDescent="0.25">
      <c r="I77" s="60" t="str">
        <f t="shared" si="158"/>
        <v>326</v>
      </c>
      <c r="J77">
        <f t="shared" si="161"/>
        <v>3</v>
      </c>
      <c r="K77" s="129">
        <v>26</v>
      </c>
      <c r="L77" s="61">
        <f t="shared" si="159"/>
        <v>152</v>
      </c>
      <c r="M77" s="38" t="e">
        <f>VLOOKUP(I77,$O$5:$S$1055,5,0)+D25</f>
        <v>#VALUE!</v>
      </c>
      <c r="N77" s="133" t="s">
        <v>173</v>
      </c>
      <c r="O77" t="str">
        <f t="shared" si="156"/>
        <v>21</v>
      </c>
      <c r="P77" s="133">
        <v>2</v>
      </c>
      <c r="Q77" s="134">
        <v>1</v>
      </c>
      <c r="R77" s="128">
        <v>0</v>
      </c>
      <c r="S77" s="101">
        <v>108</v>
      </c>
      <c r="T77" s="2" t="s">
        <v>163</v>
      </c>
      <c r="BD77" s="176" t="str">
        <f>IF(BD78="","",450)</f>
        <v/>
      </c>
      <c r="BE77" s="28">
        <f>IF(BD78="",-1000,$BH$76+50)</f>
        <v>-1000</v>
      </c>
      <c r="BF77" s="28"/>
      <c r="BG77" s="28"/>
      <c r="BH77" s="177"/>
    </row>
    <row r="78" spans="9:61" ht="15.75" thickBot="1" x14ac:dyDescent="0.3">
      <c r="I78" s="60" t="str">
        <f t="shared" si="158"/>
        <v>326a</v>
      </c>
      <c r="J78">
        <f t="shared" si="161"/>
        <v>3</v>
      </c>
      <c r="K78" s="130" t="s">
        <v>167</v>
      </c>
      <c r="L78" s="61">
        <f t="shared" si="159"/>
        <v>152</v>
      </c>
      <c r="M78" s="38" t="e">
        <f>VLOOKUP(I78,$O$5:$S$1055,5,0)+D25</f>
        <v>#VALUE!</v>
      </c>
      <c r="N78" s="120" t="e">
        <f>Schachtselector!$C$133+Schachtselector!C180</f>
        <v>#VALUE!</v>
      </c>
      <c r="O78" t="str">
        <f t="shared" si="156"/>
        <v>21a</v>
      </c>
      <c r="P78">
        <v>2</v>
      </c>
      <c r="Q78" s="129" t="s">
        <v>135</v>
      </c>
      <c r="R78" s="65">
        <v>-400</v>
      </c>
      <c r="S78" s="67">
        <v>108</v>
      </c>
      <c r="T78" s="4"/>
      <c r="BD78" s="5" t="str">
        <f>IF(Schachtselector!E184="","",BM24)</f>
        <v/>
      </c>
      <c r="BE78" s="10"/>
      <c r="BF78" s="10"/>
      <c r="BG78" s="10"/>
      <c r="BH78" s="6"/>
    </row>
    <row r="79" spans="9:61" x14ac:dyDescent="0.25">
      <c r="I79" s="60" t="str">
        <f t="shared" si="158"/>
        <v>327</v>
      </c>
      <c r="J79">
        <f>J78</f>
        <v>3</v>
      </c>
      <c r="K79" s="115">
        <v>27</v>
      </c>
      <c r="L79" s="61" t="e">
        <f>VLOOKUP(I79,$O$5:$S$1055,4,0)</f>
        <v>#N/A</v>
      </c>
      <c r="M79" s="38" t="e">
        <f>VLOOKUP(I79,$O$5:$S$1055,5,0)+D25</f>
        <v>#N/A</v>
      </c>
      <c r="O79" t="str">
        <f t="shared" si="156"/>
        <v>22</v>
      </c>
      <c r="P79">
        <v>2</v>
      </c>
      <c r="Q79" s="129">
        <v>2</v>
      </c>
      <c r="R79" s="60">
        <f>$R$78</f>
        <v>-400</v>
      </c>
      <c r="S79" s="38">
        <v>108</v>
      </c>
      <c r="T79" s="4"/>
    </row>
    <row r="80" spans="9:61" x14ac:dyDescent="0.25">
      <c r="I80" s="60" t="str">
        <f t="shared" si="158"/>
        <v>327a</v>
      </c>
      <c r="J80">
        <f>J79</f>
        <v>3</v>
      </c>
      <c r="K80" s="115" t="s">
        <v>202</v>
      </c>
      <c r="L80" s="61" t="e">
        <f>VLOOKUP(I80,$O$5:$S$1055,4,0)</f>
        <v>#N/A</v>
      </c>
      <c r="M80" s="38" t="e">
        <f>VLOOKUP(I80,$O$5:$S$1055,5,0)+D25</f>
        <v>#N/A</v>
      </c>
      <c r="O80" t="str">
        <f t="shared" si="156"/>
        <v>22a</v>
      </c>
      <c r="P80">
        <v>2</v>
      </c>
      <c r="Q80" s="129" t="s">
        <v>136</v>
      </c>
      <c r="R80" s="65">
        <f>$R$78</f>
        <v>-400</v>
      </c>
      <c r="S80" s="67">
        <v>500</v>
      </c>
      <c r="T80" s="4"/>
    </row>
    <row r="81" spans="9:20" x14ac:dyDescent="0.25">
      <c r="I81" s="60" t="str">
        <f t="shared" si="158"/>
        <v>328</v>
      </c>
      <c r="J81">
        <f>J80</f>
        <v>3</v>
      </c>
      <c r="K81" s="115">
        <v>28</v>
      </c>
      <c r="L81" s="61" t="e">
        <f>VLOOKUP(I81,$O$5:$S$1055,4,0)</f>
        <v>#N/A</v>
      </c>
      <c r="M81" s="38" t="e">
        <f>VLOOKUP(I81,$O$5:$S$1055,5,0)+D25</f>
        <v>#N/A</v>
      </c>
      <c r="O81" t="str">
        <f t="shared" si="156"/>
        <v>23</v>
      </c>
      <c r="P81">
        <v>2</v>
      </c>
      <c r="Q81" s="129">
        <v>3</v>
      </c>
      <c r="R81" s="60">
        <f>$R$78</f>
        <v>-400</v>
      </c>
      <c r="S81" s="38">
        <v>500</v>
      </c>
      <c r="T81" s="4"/>
    </row>
    <row r="82" spans="9:20" x14ac:dyDescent="0.25">
      <c r="I82" s="60" t="str">
        <f t="shared" si="158"/>
        <v>328a</v>
      </c>
      <c r="J82">
        <f>J81</f>
        <v>3</v>
      </c>
      <c r="K82" s="115" t="s">
        <v>203</v>
      </c>
      <c r="L82" s="61" t="e">
        <f>VLOOKUP(I82,$O$5:$S$1055,4,0)</f>
        <v>#N/A</v>
      </c>
      <c r="M82" s="38" t="e">
        <f>VLOOKUP(I82,$O$5:$S$1055,5,0)+D25</f>
        <v>#N/A</v>
      </c>
      <c r="O82" t="str">
        <f t="shared" si="156"/>
        <v>23a</v>
      </c>
      <c r="P82">
        <v>2</v>
      </c>
      <c r="Q82" s="129" t="s">
        <v>137</v>
      </c>
      <c r="R82" s="62">
        <f>$R$78</f>
        <v>-400</v>
      </c>
      <c r="S82" s="123" t="e">
        <f>$S$83</f>
        <v>#VALUE!</v>
      </c>
      <c r="T82" s="4"/>
    </row>
    <row r="83" spans="9:20" x14ac:dyDescent="0.25">
      <c r="I83" s="60" t="str">
        <f t="shared" si="158"/>
        <v>329</v>
      </c>
      <c r="J83">
        <f t="shared" ref="J83:J94" si="162">J82</f>
        <v>3</v>
      </c>
      <c r="K83" s="129">
        <v>29</v>
      </c>
      <c r="L83" s="61">
        <f t="shared" ref="L83:L94" si="163">IFERROR(VLOOKUP(I83,$O$5:$S$1055,4,0),-100000)</f>
        <v>-100000</v>
      </c>
      <c r="M83" s="38">
        <f>IFERROR(VLOOKUP(I83,$O$5:$S$1055,5,0)+D31,-100000)</f>
        <v>-100000</v>
      </c>
      <c r="O83" t="str">
        <f t="shared" si="156"/>
        <v>24</v>
      </c>
      <c r="P83">
        <v>2</v>
      </c>
      <c r="Q83" s="129">
        <v>4</v>
      </c>
      <c r="R83" s="60">
        <f>$R$78</f>
        <v>-400</v>
      </c>
      <c r="S83" s="122" t="e">
        <f>S90-52</f>
        <v>#VALUE!</v>
      </c>
      <c r="T83" s="4"/>
    </row>
    <row r="84" spans="9:20" ht="15.75" thickBot="1" x14ac:dyDescent="0.3">
      <c r="I84" s="60" t="str">
        <f t="shared" si="158"/>
        <v>329a</v>
      </c>
      <c r="J84">
        <f t="shared" si="162"/>
        <v>3</v>
      </c>
      <c r="K84" s="130" t="s">
        <v>1909</v>
      </c>
      <c r="L84" s="61">
        <f t="shared" si="163"/>
        <v>-100000</v>
      </c>
      <c r="M84" s="38">
        <f>IFERROR(VLOOKUP(I84,$O$5:$S$1055,5,0)+D31,-100000)</f>
        <v>-100000</v>
      </c>
      <c r="O84" t="str">
        <f t="shared" si="156"/>
        <v>24a</v>
      </c>
      <c r="P84">
        <v>2</v>
      </c>
      <c r="Q84" s="129" t="s">
        <v>138</v>
      </c>
      <c r="R84" s="62">
        <f>R89-((R89-R83)*COS(15*PI()/180))</f>
        <v>-398.22814296703154</v>
      </c>
      <c r="S84" s="62" t="e">
        <f>S83+(S89-S83)*SIN(15*PI()/180)</f>
        <v>#VALUE!</v>
      </c>
      <c r="T84" s="4"/>
    </row>
    <row r="85" spans="9:20" x14ac:dyDescent="0.25">
      <c r="I85" s="60" t="str">
        <f t="shared" si="158"/>
        <v>330</v>
      </c>
      <c r="J85">
        <f t="shared" si="162"/>
        <v>3</v>
      </c>
      <c r="K85" s="115">
        <v>30</v>
      </c>
      <c r="L85" s="61">
        <f t="shared" si="163"/>
        <v>-100000</v>
      </c>
      <c r="M85" s="38">
        <f>IFERROR(VLOOKUP(I85,$O$5:$S$1055,5,0)+D31,-100000)</f>
        <v>-100000</v>
      </c>
      <c r="O85" t="str">
        <f t="shared" si="156"/>
        <v>24b</v>
      </c>
      <c r="P85">
        <v>2</v>
      </c>
      <c r="Q85" s="129" t="s">
        <v>147</v>
      </c>
      <c r="R85" s="62">
        <f>R89-((R89-R83)*COS(30*PI()/180))</f>
        <v>-393.03332099679079</v>
      </c>
      <c r="S85" s="62" t="e">
        <f>S83+(S89-S83)*SIN(30*PI()/180)</f>
        <v>#VALUE!</v>
      </c>
      <c r="T85" s="4"/>
    </row>
    <row r="86" spans="9:20" x14ac:dyDescent="0.25">
      <c r="I86" s="60" t="str">
        <f t="shared" si="158"/>
        <v>330a</v>
      </c>
      <c r="J86">
        <f t="shared" si="162"/>
        <v>3</v>
      </c>
      <c r="K86" s="115" t="s">
        <v>1910</v>
      </c>
      <c r="L86" s="61">
        <f t="shared" si="163"/>
        <v>-100000</v>
      </c>
      <c r="M86" s="38">
        <f>IFERROR(VLOOKUP(I86,$O$5:$S$1055,5,0)+D31,-100000)</f>
        <v>-100000</v>
      </c>
      <c r="O86" t="str">
        <f t="shared" si="156"/>
        <v>24c</v>
      </c>
      <c r="P86">
        <v>2</v>
      </c>
      <c r="Q86" s="115" t="s">
        <v>176</v>
      </c>
      <c r="R86" s="62">
        <f>R89-((R89-R83)*COS(45*PI()/180))</f>
        <v>-384.76955262170048</v>
      </c>
      <c r="S86" s="62" t="e">
        <f>S83+(S89-S83)*SIN(45*PI()/180)</f>
        <v>#VALUE!</v>
      </c>
      <c r="T86" s="4"/>
    </row>
    <row r="87" spans="9:20" x14ac:dyDescent="0.25">
      <c r="I87" s="60" t="str">
        <f t="shared" si="158"/>
        <v>331</v>
      </c>
      <c r="J87">
        <f t="shared" si="162"/>
        <v>3</v>
      </c>
      <c r="K87" s="115">
        <v>31</v>
      </c>
      <c r="L87" s="61">
        <f t="shared" si="163"/>
        <v>-100000</v>
      </c>
      <c r="M87" s="38">
        <f>IFERROR(VLOOKUP(I87,$O$5:$S$1055,5,0)+D31,-100000)</f>
        <v>-100000</v>
      </c>
      <c r="O87" t="str">
        <f t="shared" si="156"/>
        <v>24d</v>
      </c>
      <c r="P87">
        <v>2</v>
      </c>
      <c r="Q87" s="115" t="s">
        <v>177</v>
      </c>
      <c r="R87" s="62">
        <f>R89-((R89-R83)*COS(60*PI()/180))</f>
        <v>-374</v>
      </c>
      <c r="S87" s="62" t="e">
        <f>S83+(S89-S83)*SIN(60*PI()/180)</f>
        <v>#VALUE!</v>
      </c>
      <c r="T87" s="4"/>
    </row>
    <row r="88" spans="9:20" x14ac:dyDescent="0.25">
      <c r="I88" s="60" t="str">
        <f t="shared" si="158"/>
        <v>331a</v>
      </c>
      <c r="J88">
        <f t="shared" si="162"/>
        <v>3</v>
      </c>
      <c r="K88" s="115" t="s">
        <v>1911</v>
      </c>
      <c r="L88" s="61">
        <f t="shared" si="163"/>
        <v>-100000</v>
      </c>
      <c r="M88" s="38">
        <f>IFERROR(VLOOKUP(I88,$O$5:$S$1055,5,0)+D31,-100000)</f>
        <v>-100000</v>
      </c>
      <c r="O88" t="str">
        <f t="shared" si="156"/>
        <v>24e</v>
      </c>
      <c r="P88">
        <v>2</v>
      </c>
      <c r="Q88" s="115" t="s">
        <v>178</v>
      </c>
      <c r="R88" s="62">
        <f>R89-((R89-R83)*COS(75*PI()/180))</f>
        <v>-361.45859034533106</v>
      </c>
      <c r="S88" s="62" t="e">
        <f>S83+(S89-S83)*SIN(75*PI()/180)</f>
        <v>#VALUE!</v>
      </c>
      <c r="T88" s="4"/>
    </row>
    <row r="89" spans="9:20" x14ac:dyDescent="0.25">
      <c r="I89" s="60" t="str">
        <f>J89&amp;K89</f>
        <v>332</v>
      </c>
      <c r="J89">
        <f t="shared" si="162"/>
        <v>3</v>
      </c>
      <c r="K89" s="115">
        <v>32</v>
      </c>
      <c r="L89" s="61">
        <f t="shared" si="163"/>
        <v>-100000</v>
      </c>
      <c r="M89" s="38">
        <f>IFERROR(VLOOKUP(I89,$O$5:$S$1055,5,0)+D35,-100000)</f>
        <v>-100000</v>
      </c>
      <c r="O89" t="str">
        <f t="shared" si="156"/>
        <v>24f</v>
      </c>
      <c r="P89">
        <v>2</v>
      </c>
      <c r="Q89" s="115" t="s">
        <v>179</v>
      </c>
      <c r="R89" s="62">
        <f>R90</f>
        <v>-348</v>
      </c>
      <c r="S89" s="138" t="e">
        <f>S90</f>
        <v>#VALUE!</v>
      </c>
      <c r="T89" s="4"/>
    </row>
    <row r="90" spans="9:20" x14ac:dyDescent="0.25">
      <c r="I90" s="60" t="str">
        <f t="shared" ref="I90:I91" si="164">J90&amp;K90</f>
        <v>332a</v>
      </c>
      <c r="J90">
        <f t="shared" si="162"/>
        <v>3</v>
      </c>
      <c r="K90" s="115" t="s">
        <v>1912</v>
      </c>
      <c r="L90" s="61">
        <f t="shared" si="163"/>
        <v>-100000</v>
      </c>
      <c r="M90" s="38">
        <f>IFERROR(VLOOKUP(I90,$O$5:$S$1055,5,0)+D35,-100000)</f>
        <v>-100000</v>
      </c>
      <c r="O90" t="str">
        <f t="shared" si="156"/>
        <v>25</v>
      </c>
      <c r="P90">
        <v>2</v>
      </c>
      <c r="Q90" s="129">
        <v>5</v>
      </c>
      <c r="R90" s="60">
        <v>-348</v>
      </c>
      <c r="S90" s="122" t="e">
        <f>$N$78-350</f>
        <v>#VALUE!</v>
      </c>
      <c r="T90" s="4"/>
    </row>
    <row r="91" spans="9:20" x14ac:dyDescent="0.25">
      <c r="I91" s="60" t="str">
        <f t="shared" si="164"/>
        <v>333a</v>
      </c>
      <c r="J91">
        <f t="shared" si="162"/>
        <v>3</v>
      </c>
      <c r="K91" s="115" t="s">
        <v>1916</v>
      </c>
      <c r="L91" s="61">
        <f t="shared" si="163"/>
        <v>-100000</v>
      </c>
      <c r="M91" s="38">
        <f>IFERROR(VLOOKUP(I91,$O$5:$S$1055,5,0)+D34,-100000)</f>
        <v>-100000</v>
      </c>
      <c r="O91" t="str">
        <f t="shared" si="156"/>
        <v>25a</v>
      </c>
      <c r="P91">
        <v>2</v>
      </c>
      <c r="Q91" s="129" t="s">
        <v>139</v>
      </c>
      <c r="R91" s="65">
        <v>-348</v>
      </c>
      <c r="S91" s="121" t="e">
        <f>$S$92</f>
        <v>#VALUE!</v>
      </c>
      <c r="T91" s="4"/>
    </row>
    <row r="92" spans="9:20" x14ac:dyDescent="0.25">
      <c r="I92" s="60" t="str">
        <f>J92&amp;K92</f>
        <v>333</v>
      </c>
      <c r="J92">
        <f t="shared" si="162"/>
        <v>3</v>
      </c>
      <c r="K92" s="115">
        <v>33</v>
      </c>
      <c r="L92" s="61">
        <f t="shared" si="163"/>
        <v>-100000</v>
      </c>
      <c r="M92" s="38">
        <f>IFERROR(VLOOKUP(I92,$O$5:$S$1055,5,0)+D38,-100000)</f>
        <v>-100000</v>
      </c>
      <c r="O92" t="str">
        <f t="shared" si="156"/>
        <v>26</v>
      </c>
      <c r="P92">
        <v>2</v>
      </c>
      <c r="Q92" s="129">
        <v>6</v>
      </c>
      <c r="R92" s="62">
        <f>$R$91</f>
        <v>-348</v>
      </c>
      <c r="S92" s="121" t="e">
        <f>$N$78</f>
        <v>#VALUE!</v>
      </c>
      <c r="T92" s="4"/>
    </row>
    <row r="93" spans="9:20" x14ac:dyDescent="0.25">
      <c r="I93" s="60" t="str">
        <f t="shared" ref="I93:I94" si="165">J93&amp;K93</f>
        <v>334</v>
      </c>
      <c r="J93">
        <f t="shared" si="162"/>
        <v>3</v>
      </c>
      <c r="K93" s="115">
        <v>34</v>
      </c>
      <c r="L93" s="61">
        <f t="shared" si="163"/>
        <v>-100000</v>
      </c>
      <c r="M93" s="38">
        <f>IFERROR(VLOOKUP(I93,$O$5:$S$1055,5,0)+D38,-100000)</f>
        <v>-100000</v>
      </c>
      <c r="O93" t="str">
        <f t="shared" si="156"/>
        <v>26a</v>
      </c>
      <c r="P93">
        <v>2</v>
      </c>
      <c r="Q93" s="129" t="s">
        <v>140</v>
      </c>
      <c r="R93" s="65">
        <v>0</v>
      </c>
      <c r="S93" s="121" t="e">
        <f>$N$78</f>
        <v>#VALUE!</v>
      </c>
      <c r="T93" s="4"/>
    </row>
    <row r="94" spans="9:20" x14ac:dyDescent="0.25">
      <c r="I94" s="60" t="str">
        <f t="shared" si="165"/>
        <v>334a</v>
      </c>
      <c r="J94">
        <f t="shared" si="162"/>
        <v>3</v>
      </c>
      <c r="K94" s="115" t="s">
        <v>1917</v>
      </c>
      <c r="L94" s="61">
        <f t="shared" si="163"/>
        <v>-100000</v>
      </c>
      <c r="M94" s="38">
        <f>IFERROR(VLOOKUP(I94,$O$5:$S$1055,5,0)+D37,-100000)</f>
        <v>-100000</v>
      </c>
      <c r="O94" t="str">
        <f t="shared" si="156"/>
        <v>27</v>
      </c>
      <c r="P94">
        <v>2</v>
      </c>
      <c r="Q94" s="129">
        <v>7</v>
      </c>
      <c r="R94" s="60">
        <v>0</v>
      </c>
      <c r="S94" s="121" t="e">
        <f>$N$78</f>
        <v>#VALUE!</v>
      </c>
      <c r="T94" s="4"/>
    </row>
    <row r="95" spans="9:20" x14ac:dyDescent="0.25">
      <c r="O95" t="str">
        <f t="shared" si="156"/>
        <v>27a</v>
      </c>
      <c r="P95">
        <v>2</v>
      </c>
      <c r="Q95" s="129" t="s">
        <v>141</v>
      </c>
      <c r="R95" s="65">
        <v>252</v>
      </c>
      <c r="S95" s="121" t="e">
        <f>$N$78</f>
        <v>#VALUE!</v>
      </c>
      <c r="T95" s="4"/>
    </row>
    <row r="96" spans="9:20" x14ac:dyDescent="0.25">
      <c r="O96" t="str">
        <f t="shared" si="156"/>
        <v>28</v>
      </c>
      <c r="P96">
        <v>2</v>
      </c>
      <c r="Q96" s="129">
        <v>8</v>
      </c>
      <c r="R96" s="60">
        <f>$R$95</f>
        <v>252</v>
      </c>
      <c r="S96" s="121" t="e">
        <f>$N$78</f>
        <v>#VALUE!</v>
      </c>
      <c r="T96" s="4"/>
    </row>
    <row r="97" spans="15:20" x14ac:dyDescent="0.25">
      <c r="O97" t="str">
        <f t="shared" si="156"/>
        <v>28a</v>
      </c>
      <c r="P97">
        <v>2</v>
      </c>
      <c r="Q97" s="129" t="s">
        <v>142</v>
      </c>
      <c r="R97" s="62">
        <f>$R$95</f>
        <v>252</v>
      </c>
      <c r="S97" s="123" t="e">
        <f>$S$96-350</f>
        <v>#VALUE!</v>
      </c>
      <c r="T97" s="4"/>
    </row>
    <row r="98" spans="15:20" x14ac:dyDescent="0.25">
      <c r="O98" t="str">
        <f t="shared" si="156"/>
        <v>29</v>
      </c>
      <c r="P98">
        <v>2</v>
      </c>
      <c r="Q98" s="129">
        <v>9</v>
      </c>
      <c r="R98" s="60">
        <f>$R$95</f>
        <v>252</v>
      </c>
      <c r="S98" s="122" t="e">
        <f>$S$96-350</f>
        <v>#VALUE!</v>
      </c>
      <c r="T98" s="4"/>
    </row>
    <row r="99" spans="15:20" x14ac:dyDescent="0.25">
      <c r="O99" t="str">
        <f t="shared" si="156"/>
        <v>29a</v>
      </c>
      <c r="P99">
        <v>2</v>
      </c>
      <c r="Q99" s="129" t="s">
        <v>143</v>
      </c>
      <c r="R99" s="62">
        <f>R98+((R104-R98)*COS(75*PI()/180))</f>
        <v>290.30521867517308</v>
      </c>
      <c r="S99" s="62" t="e">
        <f>S104+(S98-S104)*SIN(75*PI()/180)</f>
        <v>#VALUE!</v>
      </c>
      <c r="T99" s="4"/>
    </row>
    <row r="100" spans="15:20" x14ac:dyDescent="0.25">
      <c r="O100" t="str">
        <f t="shared" si="156"/>
        <v>29b</v>
      </c>
      <c r="P100">
        <v>2</v>
      </c>
      <c r="Q100" s="129" t="s">
        <v>148</v>
      </c>
      <c r="R100" s="62">
        <f>R98+((R104-R98)*COS(60*PI()/180))</f>
        <v>326</v>
      </c>
      <c r="S100" s="62" t="e">
        <f>S104+(S98-S104)*SIN(60*PI()/180)</f>
        <v>#VALUE!</v>
      </c>
      <c r="T100" s="4"/>
    </row>
    <row r="101" spans="15:20" x14ac:dyDescent="0.25">
      <c r="O101" t="str">
        <f t="shared" si="156"/>
        <v>29c</v>
      </c>
      <c r="P101">
        <v>2</v>
      </c>
      <c r="Q101" s="115" t="s">
        <v>180</v>
      </c>
      <c r="R101" s="62">
        <f>R98+((R104-R98)*COS(45*PI()/180))</f>
        <v>356.65180361560903</v>
      </c>
      <c r="S101" s="62" t="e">
        <f>S104+(S98-S104)*SIN(45*PI()/180)</f>
        <v>#VALUE!</v>
      </c>
      <c r="T101" s="4"/>
    </row>
    <row r="102" spans="15:20" x14ac:dyDescent="0.25">
      <c r="O102" t="str">
        <f t="shared" si="156"/>
        <v>29d</v>
      </c>
      <c r="P102">
        <v>2</v>
      </c>
      <c r="Q102" s="115" t="s">
        <v>181</v>
      </c>
      <c r="R102" s="62">
        <f>R98+((R104-R98)*COS(30*PI()/180))</f>
        <v>380.17175976009696</v>
      </c>
      <c r="S102" s="62" t="e">
        <f>S104+(S98-S104)*SIN(30*PI()/180)</f>
        <v>#VALUE!</v>
      </c>
      <c r="T102" s="4"/>
    </row>
    <row r="103" spans="15:20" x14ac:dyDescent="0.25">
      <c r="O103" t="str">
        <f t="shared" si="156"/>
        <v>29e</v>
      </c>
      <c r="P103">
        <v>2</v>
      </c>
      <c r="Q103" s="115" t="s">
        <v>182</v>
      </c>
      <c r="R103" s="62">
        <f>R98+((R104-R98)*COS(15*PI()/180))</f>
        <v>394.95702229078211</v>
      </c>
      <c r="S103" s="62" t="e">
        <f>S104+(S98-S104)*SIN(15*PI()/180)</f>
        <v>#VALUE!</v>
      </c>
      <c r="T103" s="4"/>
    </row>
    <row r="104" spans="15:20" x14ac:dyDescent="0.25">
      <c r="O104" t="str">
        <f t="shared" si="156"/>
        <v>29f</v>
      </c>
      <c r="P104">
        <v>2</v>
      </c>
      <c r="Q104" s="115" t="s">
        <v>183</v>
      </c>
      <c r="R104" s="65">
        <v>400</v>
      </c>
      <c r="S104" s="121" t="e">
        <f>$S$105</f>
        <v>#VALUE!</v>
      </c>
      <c r="T104" s="4"/>
    </row>
    <row r="105" spans="15:20" x14ac:dyDescent="0.25">
      <c r="O105" t="str">
        <f t="shared" si="156"/>
        <v>210</v>
      </c>
      <c r="P105">
        <v>2</v>
      </c>
      <c r="Q105" s="129">
        <v>10</v>
      </c>
      <c r="R105" s="62">
        <v>400</v>
      </c>
      <c r="S105" s="123" t="e">
        <f>$S$98-148</f>
        <v>#VALUE!</v>
      </c>
      <c r="T105" s="4"/>
    </row>
    <row r="106" spans="15:20" x14ac:dyDescent="0.25">
      <c r="O106" t="str">
        <f t="shared" si="156"/>
        <v>210a</v>
      </c>
      <c r="P106">
        <v>2</v>
      </c>
      <c r="Q106" s="129" t="s">
        <v>144</v>
      </c>
      <c r="R106" s="62">
        <v>400</v>
      </c>
      <c r="S106" s="67">
        <v>500</v>
      </c>
      <c r="T106" s="4"/>
    </row>
    <row r="107" spans="15:20" x14ac:dyDescent="0.25">
      <c r="O107" t="str">
        <f t="shared" si="156"/>
        <v>211</v>
      </c>
      <c r="P107">
        <v>2</v>
      </c>
      <c r="Q107" s="129">
        <v>11</v>
      </c>
      <c r="R107" s="62">
        <v>400</v>
      </c>
      <c r="S107" s="38">
        <v>500</v>
      </c>
      <c r="T107" s="4"/>
    </row>
    <row r="108" spans="15:20" x14ac:dyDescent="0.25">
      <c r="O108" t="str">
        <f t="shared" si="156"/>
        <v>211a</v>
      </c>
      <c r="P108">
        <v>2</v>
      </c>
      <c r="Q108" s="129" t="s">
        <v>145</v>
      </c>
      <c r="R108" s="62">
        <v>400</v>
      </c>
      <c r="S108" s="67">
        <v>108</v>
      </c>
      <c r="T108" s="4"/>
    </row>
    <row r="109" spans="15:20" x14ac:dyDescent="0.25">
      <c r="O109" t="str">
        <f t="shared" si="156"/>
        <v>212</v>
      </c>
      <c r="P109">
        <v>2</v>
      </c>
      <c r="Q109" s="129">
        <v>12</v>
      </c>
      <c r="R109" s="62">
        <v>400</v>
      </c>
      <c r="S109" s="38">
        <v>108</v>
      </c>
      <c r="T109" s="4"/>
    </row>
    <row r="110" spans="15:20" ht="15.75" thickBot="1" x14ac:dyDescent="0.3">
      <c r="O110" t="str">
        <f t="shared" si="156"/>
        <v>212a</v>
      </c>
      <c r="P110">
        <v>2</v>
      </c>
      <c r="Q110" s="129" t="s">
        <v>146</v>
      </c>
      <c r="R110" s="116">
        <v>0</v>
      </c>
      <c r="S110" s="117">
        <v>108</v>
      </c>
      <c r="T110" s="4"/>
    </row>
    <row r="111" spans="15:20" x14ac:dyDescent="0.25">
      <c r="O111" t="str">
        <f t="shared" si="156"/>
        <v>213</v>
      </c>
      <c r="P111">
        <v>2</v>
      </c>
      <c r="Q111" s="129">
        <v>13</v>
      </c>
      <c r="R111" s="62">
        <v>0</v>
      </c>
      <c r="S111" s="63">
        <v>0</v>
      </c>
      <c r="T111" s="4" t="s">
        <v>164</v>
      </c>
    </row>
    <row r="112" spans="15:20" x14ac:dyDescent="0.25">
      <c r="O112" t="str">
        <f t="shared" si="156"/>
        <v>213a</v>
      </c>
      <c r="P112">
        <v>2</v>
      </c>
      <c r="Q112" s="129" t="s">
        <v>149</v>
      </c>
      <c r="R112" s="62">
        <v>-425</v>
      </c>
      <c r="S112" s="63">
        <v>0</v>
      </c>
      <c r="T112" s="4"/>
    </row>
    <row r="113" spans="15:20" x14ac:dyDescent="0.25">
      <c r="O113" t="str">
        <f t="shared" si="156"/>
        <v>214</v>
      </c>
      <c r="P113">
        <v>2</v>
      </c>
      <c r="Q113" s="129">
        <v>14</v>
      </c>
      <c r="R113" s="62">
        <f>$R$112</f>
        <v>-425</v>
      </c>
      <c r="S113" s="38">
        <v>0</v>
      </c>
      <c r="T113" s="4"/>
    </row>
    <row r="114" spans="15:20" x14ac:dyDescent="0.25">
      <c r="O114" t="str">
        <f t="shared" si="156"/>
        <v>214a</v>
      </c>
      <c r="P114">
        <v>2</v>
      </c>
      <c r="Q114" s="129" t="s">
        <v>150</v>
      </c>
      <c r="R114" s="62">
        <f>$R$112</f>
        <v>-425</v>
      </c>
      <c r="S114" s="67">
        <v>500</v>
      </c>
      <c r="T114" s="4"/>
    </row>
    <row r="115" spans="15:20" x14ac:dyDescent="0.25">
      <c r="O115" t="str">
        <f t="shared" si="156"/>
        <v>215</v>
      </c>
      <c r="P115">
        <v>2</v>
      </c>
      <c r="Q115" s="129">
        <v>15</v>
      </c>
      <c r="R115" s="62">
        <f>$R$112</f>
        <v>-425</v>
      </c>
      <c r="S115" s="63">
        <v>500</v>
      </c>
      <c r="T115" s="4"/>
    </row>
    <row r="116" spans="15:20" x14ac:dyDescent="0.25">
      <c r="O116" t="str">
        <f t="shared" si="156"/>
        <v>215a</v>
      </c>
      <c r="P116">
        <v>2</v>
      </c>
      <c r="Q116" s="129" t="s">
        <v>151</v>
      </c>
      <c r="R116" s="62">
        <f>$R$112</f>
        <v>-425</v>
      </c>
      <c r="S116" s="123" t="e">
        <f>$S$83</f>
        <v>#VALUE!</v>
      </c>
      <c r="T116" s="4"/>
    </row>
    <row r="117" spans="15:20" x14ac:dyDescent="0.25">
      <c r="O117" t="str">
        <f t="shared" si="156"/>
        <v>216</v>
      </c>
      <c r="P117">
        <v>2</v>
      </c>
      <c r="Q117" s="129">
        <v>16</v>
      </c>
      <c r="R117" s="62">
        <f>R83-25</f>
        <v>-425</v>
      </c>
      <c r="S117" s="122" t="e">
        <f>S116</f>
        <v>#VALUE!</v>
      </c>
      <c r="T117" s="4"/>
    </row>
    <row r="118" spans="15:20" x14ac:dyDescent="0.25">
      <c r="O118" t="str">
        <f t="shared" si="156"/>
        <v>216a</v>
      </c>
      <c r="P118">
        <v>2</v>
      </c>
      <c r="Q118" s="129" t="s">
        <v>152</v>
      </c>
      <c r="R118" s="62">
        <f>R123-((R123-R117)*COS(15*PI()/180))</f>
        <v>-423.22814296703154</v>
      </c>
      <c r="S118" s="62" t="e">
        <f>S117+(S123-S117)*SIN(15*PI()/180)</f>
        <v>#VALUE!</v>
      </c>
      <c r="T118" s="4"/>
    </row>
    <row r="119" spans="15:20" x14ac:dyDescent="0.25">
      <c r="O119" t="str">
        <f t="shared" si="156"/>
        <v>216b</v>
      </c>
      <c r="P119">
        <v>2</v>
      </c>
      <c r="Q119" s="129" t="s">
        <v>153</v>
      </c>
      <c r="R119" s="62">
        <f>R123-((R123-R117)*COS(30*PI()/180))</f>
        <v>-418.03332099679079</v>
      </c>
      <c r="S119" s="62" t="e">
        <f>S117+(S123-S117)*SIN(30*PI()/180)</f>
        <v>#VALUE!</v>
      </c>
      <c r="T119" s="4"/>
    </row>
    <row r="120" spans="15:20" x14ac:dyDescent="0.25">
      <c r="O120" t="str">
        <f t="shared" si="156"/>
        <v>216c</v>
      </c>
      <c r="P120">
        <v>2</v>
      </c>
      <c r="Q120" s="115" t="s">
        <v>184</v>
      </c>
      <c r="R120" s="62">
        <f>R123-((R123-R117)*COS(45*PI()/180))</f>
        <v>-409.76955262170048</v>
      </c>
      <c r="S120" s="62" t="e">
        <f>S117+(S123-S117)*SIN(45*PI()/180)</f>
        <v>#VALUE!</v>
      </c>
      <c r="T120" s="4"/>
    </row>
    <row r="121" spans="15:20" x14ac:dyDescent="0.25">
      <c r="O121" t="str">
        <f t="shared" si="156"/>
        <v>216d</v>
      </c>
      <c r="P121">
        <v>2</v>
      </c>
      <c r="Q121" s="115" t="s">
        <v>185</v>
      </c>
      <c r="R121" s="62">
        <f>R123-((R123-R117)*COS(60*PI()/180))</f>
        <v>-399</v>
      </c>
      <c r="S121" s="62" t="e">
        <f>S117+(S123-S117)*SIN(60*PI()/180)</f>
        <v>#VALUE!</v>
      </c>
      <c r="T121" s="4"/>
    </row>
    <row r="122" spans="15:20" x14ac:dyDescent="0.25">
      <c r="O122" t="str">
        <f t="shared" si="156"/>
        <v>216e</v>
      </c>
      <c r="P122">
        <v>2</v>
      </c>
      <c r="Q122" s="115" t="s">
        <v>186</v>
      </c>
      <c r="R122" s="62">
        <f>R123-((R123-R117)*COS(75*PI()/180))</f>
        <v>-386.45859034533106</v>
      </c>
      <c r="S122" s="62" t="e">
        <f>S117+(S123-S117)*SIN(75*PI()/180)</f>
        <v>#VALUE!</v>
      </c>
      <c r="T122" s="4"/>
    </row>
    <row r="123" spans="15:20" x14ac:dyDescent="0.25">
      <c r="O123" t="str">
        <f t="shared" si="156"/>
        <v>216f</v>
      </c>
      <c r="P123">
        <v>2</v>
      </c>
      <c r="Q123" s="115" t="s">
        <v>187</v>
      </c>
      <c r="R123" s="62">
        <f>R89-25</f>
        <v>-373</v>
      </c>
      <c r="S123" s="120" t="e">
        <f>S117+77</f>
        <v>#VALUE!</v>
      </c>
      <c r="T123" s="4"/>
    </row>
    <row r="124" spans="15:20" x14ac:dyDescent="0.25">
      <c r="O124" t="str">
        <f t="shared" si="156"/>
        <v>217</v>
      </c>
      <c r="P124">
        <v>2</v>
      </c>
      <c r="Q124" s="129">
        <v>17</v>
      </c>
      <c r="R124" s="62">
        <f>R90-25</f>
        <v>-373</v>
      </c>
      <c r="S124" s="121" t="e">
        <f>S123</f>
        <v>#VALUE!</v>
      </c>
      <c r="T124" s="4"/>
    </row>
    <row r="125" spans="15:20" x14ac:dyDescent="0.25">
      <c r="O125" t="str">
        <f t="shared" si="156"/>
        <v>217a</v>
      </c>
      <c r="P125">
        <v>2</v>
      </c>
      <c r="Q125" s="129" t="s">
        <v>154</v>
      </c>
      <c r="R125" s="62">
        <f>R91-25</f>
        <v>-373</v>
      </c>
      <c r="S125" s="123" t="e">
        <f>$N$78+(BD65*10)</f>
        <v>#VALUE!</v>
      </c>
      <c r="T125" s="4"/>
    </row>
    <row r="126" spans="15:20" x14ac:dyDescent="0.25">
      <c r="O126" t="str">
        <f t="shared" si="156"/>
        <v>218</v>
      </c>
      <c r="P126">
        <v>2</v>
      </c>
      <c r="Q126" s="129">
        <v>18</v>
      </c>
      <c r="R126" s="62">
        <f>R92-25</f>
        <v>-373</v>
      </c>
      <c r="S126" s="123" t="e">
        <f>$N$78+(BD65*10)</f>
        <v>#VALUE!</v>
      </c>
      <c r="T126" s="4"/>
    </row>
    <row r="127" spans="15:20" x14ac:dyDescent="0.25">
      <c r="O127" t="str">
        <f t="shared" si="156"/>
        <v>218a</v>
      </c>
      <c r="P127">
        <v>2</v>
      </c>
      <c r="Q127" s="129" t="s">
        <v>155</v>
      </c>
      <c r="R127" s="65">
        <v>0</v>
      </c>
      <c r="S127" s="123" t="e">
        <f>$N$78+(BD65*10)</f>
        <v>#VALUE!</v>
      </c>
      <c r="T127" s="4"/>
    </row>
    <row r="128" spans="15:20" x14ac:dyDescent="0.25">
      <c r="O128" t="str">
        <f t="shared" si="156"/>
        <v>219</v>
      </c>
      <c r="P128">
        <v>2</v>
      </c>
      <c r="Q128" s="129">
        <v>19</v>
      </c>
      <c r="R128" s="62">
        <v>0</v>
      </c>
      <c r="S128" s="123" t="e">
        <f>$N$78+(BD65*10)</f>
        <v>#VALUE!</v>
      </c>
      <c r="T128" s="4"/>
    </row>
    <row r="129" spans="15:20" x14ac:dyDescent="0.25">
      <c r="O129" t="str">
        <f t="shared" si="156"/>
        <v>219a</v>
      </c>
      <c r="P129">
        <v>2</v>
      </c>
      <c r="Q129" s="129" t="s">
        <v>156</v>
      </c>
      <c r="R129" s="65">
        <v>277</v>
      </c>
      <c r="S129" s="123" t="e">
        <f>$N$78+(BD65*10)</f>
        <v>#VALUE!</v>
      </c>
      <c r="T129" s="4"/>
    </row>
    <row r="130" spans="15:20" x14ac:dyDescent="0.25">
      <c r="O130" t="str">
        <f t="shared" si="156"/>
        <v>220</v>
      </c>
      <c r="P130">
        <v>2</v>
      </c>
      <c r="Q130" s="129">
        <v>20</v>
      </c>
      <c r="R130" s="65">
        <v>277</v>
      </c>
      <c r="S130" s="123" t="e">
        <f>S129</f>
        <v>#VALUE!</v>
      </c>
      <c r="T130" s="4"/>
    </row>
    <row r="131" spans="15:20" x14ac:dyDescent="0.25">
      <c r="O131" t="str">
        <f t="shared" si="156"/>
        <v>220a</v>
      </c>
      <c r="P131">
        <v>2</v>
      </c>
      <c r="Q131" s="129" t="s">
        <v>157</v>
      </c>
      <c r="R131" s="65">
        <v>277</v>
      </c>
      <c r="S131" s="123" t="e">
        <f>S97+25</f>
        <v>#VALUE!</v>
      </c>
      <c r="T131" s="4"/>
    </row>
    <row r="132" spans="15:20" x14ac:dyDescent="0.25">
      <c r="O132" t="str">
        <f t="shared" si="156"/>
        <v>221</v>
      </c>
      <c r="P132">
        <v>2</v>
      </c>
      <c r="Q132" s="129">
        <v>21</v>
      </c>
      <c r="R132" s="65">
        <f>$R$131</f>
        <v>277</v>
      </c>
      <c r="S132" s="122" t="e">
        <f>$S$131</f>
        <v>#VALUE!</v>
      </c>
      <c r="T132" s="4"/>
    </row>
    <row r="133" spans="15:20" x14ac:dyDescent="0.25">
      <c r="O133" t="str">
        <f t="shared" si="156"/>
        <v>221a</v>
      </c>
      <c r="P133">
        <v>2</v>
      </c>
      <c r="Q133" s="129" t="s">
        <v>158</v>
      </c>
      <c r="R133" s="62">
        <f>R132+((R138-R132)*COS(75*PI()/180))</f>
        <v>315.30521867517308</v>
      </c>
      <c r="S133" s="62" t="e">
        <f>S138+(S132-S138)*SIN(75*PI()/180)</f>
        <v>#VALUE!</v>
      </c>
      <c r="T133" s="4"/>
    </row>
    <row r="134" spans="15:20" x14ac:dyDescent="0.25">
      <c r="O134" t="str">
        <f t="shared" ref="O134:O197" si="166">P134&amp;Q134</f>
        <v>221b</v>
      </c>
      <c r="P134">
        <v>2</v>
      </c>
      <c r="Q134" s="129" t="s">
        <v>159</v>
      </c>
      <c r="R134" s="62">
        <f>R132+((R138-R132)*COS(60*PI()/180))</f>
        <v>351</v>
      </c>
      <c r="S134" s="62" t="e">
        <f>S138+(S132-S138)*SIN(60*PI()/180)</f>
        <v>#VALUE!</v>
      </c>
      <c r="T134" s="4"/>
    </row>
    <row r="135" spans="15:20" x14ac:dyDescent="0.25">
      <c r="O135" t="str">
        <f t="shared" si="166"/>
        <v>221c</v>
      </c>
      <c r="P135">
        <v>2</v>
      </c>
      <c r="Q135" s="115" t="s">
        <v>188</v>
      </c>
      <c r="R135" s="62">
        <f>R132+((R138-R132)*COS(45*PI()/180))</f>
        <v>381.65180361560903</v>
      </c>
      <c r="S135" s="62" t="e">
        <f>S138+(S132-S138)*SIN(45*PI()/180)</f>
        <v>#VALUE!</v>
      </c>
      <c r="T135" s="4"/>
    </row>
    <row r="136" spans="15:20" x14ac:dyDescent="0.25">
      <c r="O136" t="str">
        <f t="shared" si="166"/>
        <v>221d</v>
      </c>
      <c r="P136">
        <v>2</v>
      </c>
      <c r="Q136" s="115" t="s">
        <v>189</v>
      </c>
      <c r="R136" s="62">
        <f>R132+((R138-R132)*COS(30*PI()/180))</f>
        <v>405.17175976009696</v>
      </c>
      <c r="S136" s="62" t="e">
        <f>S138+(S132-S138)*SIN(30*PI()/180)</f>
        <v>#VALUE!</v>
      </c>
      <c r="T136" s="4"/>
    </row>
    <row r="137" spans="15:20" x14ac:dyDescent="0.25">
      <c r="O137" t="str">
        <f t="shared" si="166"/>
        <v>221e</v>
      </c>
      <c r="P137">
        <v>2</v>
      </c>
      <c r="Q137" s="115" t="s">
        <v>190</v>
      </c>
      <c r="R137" s="62">
        <f>R132+((R138-R132)*COS(15*PI()/180))</f>
        <v>419.95702229078211</v>
      </c>
      <c r="S137" s="62" t="e">
        <f>S138+(S132-S138)*SIN(15*PI()/180)</f>
        <v>#VALUE!</v>
      </c>
      <c r="T137" s="4"/>
    </row>
    <row r="138" spans="15:20" x14ac:dyDescent="0.25">
      <c r="O138" t="str">
        <f t="shared" si="166"/>
        <v>221f</v>
      </c>
      <c r="P138">
        <v>2</v>
      </c>
      <c r="Q138" s="115" t="s">
        <v>191</v>
      </c>
      <c r="R138">
        <f>$R$139</f>
        <v>425</v>
      </c>
      <c r="S138" s="120" t="e">
        <f>$S$139</f>
        <v>#VALUE!</v>
      </c>
      <c r="T138" s="4"/>
    </row>
    <row r="139" spans="15:20" x14ac:dyDescent="0.25">
      <c r="O139" t="str">
        <f t="shared" si="166"/>
        <v>222</v>
      </c>
      <c r="P139">
        <v>2</v>
      </c>
      <c r="Q139" s="129">
        <v>22</v>
      </c>
      <c r="R139" s="65">
        <v>425</v>
      </c>
      <c r="S139" s="121" t="e">
        <f>S132-173</f>
        <v>#VALUE!</v>
      </c>
      <c r="T139" s="4"/>
    </row>
    <row r="140" spans="15:20" x14ac:dyDescent="0.25">
      <c r="O140" t="str">
        <f t="shared" si="166"/>
        <v>222a</v>
      </c>
      <c r="P140">
        <v>2</v>
      </c>
      <c r="Q140" s="129" t="s">
        <v>160</v>
      </c>
      <c r="R140" s="65">
        <v>425</v>
      </c>
      <c r="S140" s="67">
        <v>500</v>
      </c>
      <c r="T140" s="4"/>
    </row>
    <row r="141" spans="15:20" x14ac:dyDescent="0.25">
      <c r="O141" t="str">
        <f t="shared" si="166"/>
        <v>223</v>
      </c>
      <c r="P141">
        <v>2</v>
      </c>
      <c r="Q141" s="129">
        <v>23</v>
      </c>
      <c r="R141" s="65">
        <v>425</v>
      </c>
      <c r="S141" s="38">
        <v>500</v>
      </c>
      <c r="T141" s="4"/>
    </row>
    <row r="142" spans="15:20" x14ac:dyDescent="0.25">
      <c r="O142" t="str">
        <f t="shared" si="166"/>
        <v>223a</v>
      </c>
      <c r="P142">
        <v>2</v>
      </c>
      <c r="Q142" s="129" t="s">
        <v>161</v>
      </c>
      <c r="R142" s="65">
        <v>425</v>
      </c>
      <c r="S142" s="67">
        <v>0</v>
      </c>
      <c r="T142" s="4"/>
    </row>
    <row r="143" spans="15:20" x14ac:dyDescent="0.25">
      <c r="O143" t="str">
        <f t="shared" si="166"/>
        <v>224</v>
      </c>
      <c r="P143">
        <v>2</v>
      </c>
      <c r="Q143" s="129">
        <v>24</v>
      </c>
      <c r="R143" s="65">
        <v>425</v>
      </c>
      <c r="S143" s="38">
        <v>0</v>
      </c>
      <c r="T143" s="4"/>
    </row>
    <row r="144" spans="15:20" x14ac:dyDescent="0.25">
      <c r="O144" t="str">
        <f t="shared" si="166"/>
        <v>224a</v>
      </c>
      <c r="P144">
        <v>2</v>
      </c>
      <c r="Q144" s="129" t="s">
        <v>162</v>
      </c>
      <c r="R144" s="65">
        <v>0</v>
      </c>
      <c r="S144" s="67">
        <v>0</v>
      </c>
      <c r="T144" s="4"/>
    </row>
    <row r="145" spans="14:20" x14ac:dyDescent="0.25">
      <c r="O145" t="str">
        <f t="shared" si="166"/>
        <v>225</v>
      </c>
      <c r="P145">
        <v>2</v>
      </c>
      <c r="Q145" s="129">
        <v>25</v>
      </c>
      <c r="R145" s="118">
        <f>$R$90</f>
        <v>-348</v>
      </c>
      <c r="S145" s="124" t="e">
        <f>$S$129</f>
        <v>#VALUE!</v>
      </c>
      <c r="T145" s="4" t="s">
        <v>165</v>
      </c>
    </row>
    <row r="146" spans="14:20" x14ac:dyDescent="0.25">
      <c r="O146" t="str">
        <f t="shared" si="166"/>
        <v>225a</v>
      </c>
      <c r="P146">
        <v>2</v>
      </c>
      <c r="Q146" s="129" t="s">
        <v>166</v>
      </c>
      <c r="R146" s="118">
        <f>$R$90</f>
        <v>-348</v>
      </c>
      <c r="S146" s="124" t="e">
        <f>$S$96</f>
        <v>#VALUE!</v>
      </c>
      <c r="T146" s="4"/>
    </row>
    <row r="147" spans="14:20" x14ac:dyDescent="0.25">
      <c r="O147" t="str">
        <f t="shared" si="166"/>
        <v>226</v>
      </c>
      <c r="P147">
        <v>2</v>
      </c>
      <c r="Q147" s="129">
        <v>26</v>
      </c>
      <c r="R147" s="119">
        <f>$R$95</f>
        <v>252</v>
      </c>
      <c r="S147" s="125" t="e">
        <f>$S$129</f>
        <v>#VALUE!</v>
      </c>
      <c r="T147" s="4"/>
    </row>
    <row r="148" spans="14:20" ht="15.75" thickBot="1" x14ac:dyDescent="0.3">
      <c r="O148" t="str">
        <f t="shared" si="166"/>
        <v>226a</v>
      </c>
      <c r="P148">
        <v>2</v>
      </c>
      <c r="Q148" s="130" t="s">
        <v>167</v>
      </c>
      <c r="R148" s="131">
        <f>$R$95</f>
        <v>252</v>
      </c>
      <c r="S148" s="132" t="e">
        <f>$S$96</f>
        <v>#VALUE!</v>
      </c>
      <c r="T148" s="6"/>
    </row>
    <row r="149" spans="14:20" x14ac:dyDescent="0.25">
      <c r="N149" s="133" t="s">
        <v>174</v>
      </c>
      <c r="O149" t="str">
        <f t="shared" si="166"/>
        <v>31</v>
      </c>
      <c r="P149" s="133">
        <v>3</v>
      </c>
      <c r="Q149" s="134">
        <v>1</v>
      </c>
      <c r="R149" s="135">
        <v>0</v>
      </c>
      <c r="S149" s="136">
        <v>170</v>
      </c>
      <c r="T149" s="2" t="s">
        <v>163</v>
      </c>
    </row>
    <row r="150" spans="14:20" x14ac:dyDescent="0.25">
      <c r="N150" s="120" t="e">
        <f>(Schachtselector!$C$140+Schachtselector!C180)</f>
        <v>#VALUE!</v>
      </c>
      <c r="O150" t="str">
        <f t="shared" si="166"/>
        <v>31a</v>
      </c>
      <c r="P150">
        <v>3</v>
      </c>
      <c r="Q150" s="129" t="s">
        <v>135</v>
      </c>
      <c r="R150" s="65">
        <v>-500</v>
      </c>
      <c r="S150" s="67">
        <v>170</v>
      </c>
      <c r="T150" s="4"/>
    </row>
    <row r="151" spans="14:20" x14ac:dyDescent="0.25">
      <c r="O151" t="str">
        <f t="shared" si="166"/>
        <v>32</v>
      </c>
      <c r="P151">
        <v>3</v>
      </c>
      <c r="Q151" s="129">
        <v>2</v>
      </c>
      <c r="R151" s="65">
        <v>-500</v>
      </c>
      <c r="S151" s="38">
        <v>170</v>
      </c>
      <c r="T151" s="4"/>
    </row>
    <row r="152" spans="14:20" x14ac:dyDescent="0.25">
      <c r="O152" t="str">
        <f t="shared" si="166"/>
        <v>32a</v>
      </c>
      <c r="P152">
        <v>3</v>
      </c>
      <c r="Q152" s="129" t="s">
        <v>136</v>
      </c>
      <c r="R152" s="65">
        <v>-500</v>
      </c>
      <c r="S152" s="67">
        <v>500</v>
      </c>
      <c r="T152" s="4"/>
    </row>
    <row r="153" spans="14:20" x14ac:dyDescent="0.25">
      <c r="O153" t="str">
        <f t="shared" si="166"/>
        <v>33</v>
      </c>
      <c r="P153">
        <v>3</v>
      </c>
      <c r="Q153" s="129">
        <v>3</v>
      </c>
      <c r="R153" s="65">
        <v>-500</v>
      </c>
      <c r="S153" s="38">
        <v>500</v>
      </c>
      <c r="T153" s="4"/>
    </row>
    <row r="154" spans="14:20" x14ac:dyDescent="0.25">
      <c r="O154" t="str">
        <f t="shared" si="166"/>
        <v>33a</v>
      </c>
      <c r="P154">
        <v>3</v>
      </c>
      <c r="Q154" s="129" t="s">
        <v>137</v>
      </c>
      <c r="R154" s="65">
        <v>-500</v>
      </c>
      <c r="S154" s="123" t="e">
        <f>$S$155</f>
        <v>#VALUE!</v>
      </c>
      <c r="T154" s="4"/>
    </row>
    <row r="155" spans="14:20" x14ac:dyDescent="0.25">
      <c r="O155" t="str">
        <f t="shared" si="166"/>
        <v>34</v>
      </c>
      <c r="P155">
        <v>3</v>
      </c>
      <c r="Q155" s="129">
        <v>4</v>
      </c>
      <c r="R155" s="65">
        <v>-500</v>
      </c>
      <c r="S155" s="122" t="e">
        <f>$S$161-52</f>
        <v>#VALUE!</v>
      </c>
      <c r="T155" s="4"/>
    </row>
    <row r="156" spans="14:20" x14ac:dyDescent="0.25">
      <c r="O156" t="str">
        <f t="shared" si="166"/>
        <v>34a</v>
      </c>
      <c r="P156">
        <v>3</v>
      </c>
      <c r="Q156" s="129" t="s">
        <v>138</v>
      </c>
      <c r="R156" s="62">
        <f>R161-((R161-R155)*COS(15*PI()/180))</f>
        <v>-498.22814296703154</v>
      </c>
      <c r="S156" s="62" t="e">
        <f>S155+(S161-S155)*SIN(15*PI()/180)</f>
        <v>#VALUE!</v>
      </c>
      <c r="T156" s="4"/>
    </row>
    <row r="157" spans="14:20" x14ac:dyDescent="0.25">
      <c r="O157" t="str">
        <f t="shared" si="166"/>
        <v>34b</v>
      </c>
      <c r="P157">
        <v>3</v>
      </c>
      <c r="Q157" s="129" t="s">
        <v>147</v>
      </c>
      <c r="R157" s="62">
        <f>R161-((R161-R155)*COS(30*PI()/180))</f>
        <v>-493.03332099679079</v>
      </c>
      <c r="S157" s="62" t="e">
        <f>S155+(S161-S155)*SIN(30*PI()/180)</f>
        <v>#VALUE!</v>
      </c>
      <c r="T157" s="4"/>
    </row>
    <row r="158" spans="14:20" x14ac:dyDescent="0.25">
      <c r="O158" t="str">
        <f t="shared" si="166"/>
        <v>34c</v>
      </c>
      <c r="P158">
        <v>3</v>
      </c>
      <c r="Q158" s="115" t="s">
        <v>176</v>
      </c>
      <c r="R158" s="62">
        <f>R161-((R161-R155)*COS(45*PI()/180))</f>
        <v>-484.76955262170048</v>
      </c>
      <c r="S158" s="62" t="e">
        <f>S155+(S161-S155)*SIN(45*PI()/180)</f>
        <v>#VALUE!</v>
      </c>
      <c r="T158" s="4"/>
    </row>
    <row r="159" spans="14:20" x14ac:dyDescent="0.25">
      <c r="O159" t="str">
        <f t="shared" si="166"/>
        <v>34d</v>
      </c>
      <c r="P159">
        <v>3</v>
      </c>
      <c r="Q159" s="115" t="s">
        <v>177</v>
      </c>
      <c r="R159" s="62">
        <f>R161-((R161-R155)*COS(60*PI()/180))</f>
        <v>-474</v>
      </c>
      <c r="S159" s="62" t="e">
        <f>S155+(S161-S155)*SIN(60*PI()/180)</f>
        <v>#VALUE!</v>
      </c>
      <c r="T159" s="4"/>
    </row>
    <row r="160" spans="14:20" x14ac:dyDescent="0.25">
      <c r="O160" t="str">
        <f t="shared" si="166"/>
        <v>34e</v>
      </c>
      <c r="P160">
        <v>3</v>
      </c>
      <c r="Q160" s="115" t="s">
        <v>178</v>
      </c>
      <c r="R160" s="62">
        <f>R161-((R161-R155)*COS(75*PI()/180))</f>
        <v>-461.45859034533106</v>
      </c>
      <c r="S160" s="62" t="e">
        <f>S155+(S161-S155)*SIN(75*PI()/180)</f>
        <v>#VALUE!</v>
      </c>
      <c r="T160" s="4"/>
    </row>
    <row r="161" spans="15:20" x14ac:dyDescent="0.25">
      <c r="O161" t="str">
        <f t="shared" si="166"/>
        <v>34f</v>
      </c>
      <c r="P161">
        <v>3</v>
      </c>
      <c r="Q161" s="115" t="s">
        <v>179</v>
      </c>
      <c r="R161">
        <f>$R$162</f>
        <v>-448</v>
      </c>
      <c r="S161" s="120" t="e">
        <f>$S$162</f>
        <v>#VALUE!</v>
      </c>
      <c r="T161" s="4"/>
    </row>
    <row r="162" spans="15:20" x14ac:dyDescent="0.25">
      <c r="O162" t="str">
        <f t="shared" si="166"/>
        <v>35</v>
      </c>
      <c r="P162">
        <v>3</v>
      </c>
      <c r="Q162" s="129">
        <v>5</v>
      </c>
      <c r="R162" s="65">
        <v>-448</v>
      </c>
      <c r="S162" s="123" t="e">
        <f>S163-350</f>
        <v>#VALUE!</v>
      </c>
      <c r="T162" s="4"/>
    </row>
    <row r="163" spans="15:20" x14ac:dyDescent="0.25">
      <c r="O163" t="str">
        <f t="shared" si="166"/>
        <v>35a</v>
      </c>
      <c r="P163">
        <v>3</v>
      </c>
      <c r="Q163" s="129" t="s">
        <v>139</v>
      </c>
      <c r="R163" s="65">
        <v>-448</v>
      </c>
      <c r="S163" s="121" t="e">
        <f t="shared" ref="S163:S168" si="167">$N$150</f>
        <v>#VALUE!</v>
      </c>
      <c r="T163" s="4"/>
    </row>
    <row r="164" spans="15:20" x14ac:dyDescent="0.25">
      <c r="O164" t="str">
        <f t="shared" si="166"/>
        <v>36</v>
      </c>
      <c r="P164">
        <v>3</v>
      </c>
      <c r="Q164" s="129">
        <v>6</v>
      </c>
      <c r="R164" s="65">
        <v>-448</v>
      </c>
      <c r="S164" s="121" t="e">
        <f t="shared" si="167"/>
        <v>#VALUE!</v>
      </c>
      <c r="T164" s="4"/>
    </row>
    <row r="165" spans="15:20" x14ac:dyDescent="0.25">
      <c r="O165" t="str">
        <f t="shared" si="166"/>
        <v>36a</v>
      </c>
      <c r="P165">
        <v>3</v>
      </c>
      <c r="Q165" s="129" t="s">
        <v>140</v>
      </c>
      <c r="R165" s="65">
        <v>0</v>
      </c>
      <c r="S165" s="121" t="e">
        <f t="shared" si="167"/>
        <v>#VALUE!</v>
      </c>
      <c r="T165" s="4"/>
    </row>
    <row r="166" spans="15:20" x14ac:dyDescent="0.25">
      <c r="O166" t="str">
        <f t="shared" si="166"/>
        <v>37</v>
      </c>
      <c r="P166">
        <v>3</v>
      </c>
      <c r="Q166" s="129">
        <v>7</v>
      </c>
      <c r="R166" s="60">
        <v>0</v>
      </c>
      <c r="S166" s="121" t="e">
        <f t="shared" si="167"/>
        <v>#VALUE!</v>
      </c>
      <c r="T166" s="4"/>
    </row>
    <row r="167" spans="15:20" x14ac:dyDescent="0.25">
      <c r="O167" t="str">
        <f t="shared" si="166"/>
        <v>37a</v>
      </c>
      <c r="P167">
        <v>3</v>
      </c>
      <c r="Q167" s="129" t="s">
        <v>141</v>
      </c>
      <c r="R167" s="65">
        <f>R164+600</f>
        <v>152</v>
      </c>
      <c r="S167" s="121" t="e">
        <f t="shared" si="167"/>
        <v>#VALUE!</v>
      </c>
      <c r="T167" s="4"/>
    </row>
    <row r="168" spans="15:20" x14ac:dyDescent="0.25">
      <c r="O168" t="str">
        <f t="shared" si="166"/>
        <v>38</v>
      </c>
      <c r="P168">
        <v>3</v>
      </c>
      <c r="Q168" s="129">
        <v>8</v>
      </c>
      <c r="R168" s="65">
        <v>152</v>
      </c>
      <c r="S168" s="121" t="e">
        <f t="shared" si="167"/>
        <v>#VALUE!</v>
      </c>
      <c r="T168" s="4"/>
    </row>
    <row r="169" spans="15:20" x14ac:dyDescent="0.25">
      <c r="O169" t="str">
        <f t="shared" si="166"/>
        <v>38a</v>
      </c>
      <c r="P169">
        <v>3</v>
      </c>
      <c r="Q169" s="129" t="s">
        <v>142</v>
      </c>
      <c r="R169" s="65">
        <v>152</v>
      </c>
      <c r="S169" s="121" t="e">
        <f>$N$150-350</f>
        <v>#VALUE!</v>
      </c>
      <c r="T169" s="4"/>
    </row>
    <row r="170" spans="15:20" x14ac:dyDescent="0.25">
      <c r="O170" t="str">
        <f t="shared" si="166"/>
        <v>39</v>
      </c>
      <c r="P170">
        <v>3</v>
      </c>
      <c r="Q170" s="129">
        <v>9</v>
      </c>
      <c r="R170" s="65">
        <v>152</v>
      </c>
      <c r="S170" s="121" t="e">
        <f>$S$169</f>
        <v>#VALUE!</v>
      </c>
      <c r="T170" s="4"/>
    </row>
    <row r="171" spans="15:20" x14ac:dyDescent="0.25">
      <c r="O171" t="str">
        <f t="shared" si="166"/>
        <v>39a</v>
      </c>
      <c r="P171">
        <v>3</v>
      </c>
      <c r="Q171" s="129" t="s">
        <v>143</v>
      </c>
      <c r="R171" s="62">
        <f>R170+((R176-R170)*COS(75*PI()/180))</f>
        <v>242.06902769567722</v>
      </c>
      <c r="S171" s="62" t="e">
        <f>S176+(S170-S176)*SIN(75*PI()/180)</f>
        <v>#VALUE!</v>
      </c>
      <c r="T171" s="4"/>
    </row>
    <row r="172" spans="15:20" x14ac:dyDescent="0.25">
      <c r="O172" t="str">
        <f t="shared" si="166"/>
        <v>39b</v>
      </c>
      <c r="P172">
        <v>3</v>
      </c>
      <c r="Q172" s="129" t="s">
        <v>148</v>
      </c>
      <c r="R172" s="62">
        <f>R170+((R176-R170)*COS(60*PI()/180))</f>
        <v>326</v>
      </c>
      <c r="S172" s="62" t="e">
        <f>S176+(S170-S176)*SIN(60*PI()/180)</f>
        <v>#VALUE!</v>
      </c>
      <c r="T172" s="4"/>
    </row>
    <row r="173" spans="15:20" x14ac:dyDescent="0.25">
      <c r="O173" t="str">
        <f t="shared" si="166"/>
        <v>39c</v>
      </c>
      <c r="P173">
        <v>3</v>
      </c>
      <c r="Q173" s="115" t="s">
        <v>180</v>
      </c>
      <c r="R173" s="62">
        <f>R170+((R176-R170)*COS(45*PI()/180))</f>
        <v>398.07315985291859</v>
      </c>
      <c r="S173" s="62" t="e">
        <f>S176+(S170-S176)*SIN(45*PI()/180)</f>
        <v>#VALUE!</v>
      </c>
      <c r="T173" s="4"/>
    </row>
    <row r="174" spans="15:20" x14ac:dyDescent="0.25">
      <c r="O174" t="str">
        <f t="shared" si="166"/>
        <v>39d</v>
      </c>
      <c r="P174">
        <v>3</v>
      </c>
      <c r="Q174" s="115" t="s">
        <v>181</v>
      </c>
      <c r="R174" s="62">
        <f>R170+((R176-R170)*COS(30*PI()/180))</f>
        <v>453.37684051698466</v>
      </c>
      <c r="S174" s="62" t="e">
        <f>S176+(S170-S176)*SIN(30*PI()/180)</f>
        <v>#VALUE!</v>
      </c>
      <c r="T174" s="4"/>
    </row>
    <row r="175" spans="15:20" x14ac:dyDescent="0.25">
      <c r="O175" t="str">
        <f t="shared" si="166"/>
        <v>39e</v>
      </c>
      <c r="P175">
        <v>3</v>
      </c>
      <c r="Q175" s="115" t="s">
        <v>182</v>
      </c>
      <c r="R175" s="62">
        <f>R170+((R176-R170)*COS(15*PI()/180))</f>
        <v>488.14218754859576</v>
      </c>
      <c r="S175" s="62" t="e">
        <f>S176+(S170-S176)*SIN(15*PI()/180)</f>
        <v>#VALUE!</v>
      </c>
      <c r="T175" s="4"/>
    </row>
    <row r="176" spans="15:20" x14ac:dyDescent="0.25">
      <c r="O176" t="str">
        <f t="shared" si="166"/>
        <v>39f</v>
      </c>
      <c r="P176">
        <v>3</v>
      </c>
      <c r="Q176" s="115" t="s">
        <v>183</v>
      </c>
      <c r="R176">
        <f>$R$177</f>
        <v>500</v>
      </c>
      <c r="S176" s="120" t="e">
        <f>S170-348</f>
        <v>#VALUE!</v>
      </c>
      <c r="T176" s="4"/>
    </row>
    <row r="177" spans="15:20" x14ac:dyDescent="0.25">
      <c r="O177" t="str">
        <f t="shared" si="166"/>
        <v>310</v>
      </c>
      <c r="P177">
        <v>3</v>
      </c>
      <c r="Q177" s="129">
        <v>10</v>
      </c>
      <c r="R177" s="62">
        <v>500</v>
      </c>
      <c r="S177" s="123" t="e">
        <f>$S$176</f>
        <v>#VALUE!</v>
      </c>
      <c r="T177" s="4"/>
    </row>
    <row r="178" spans="15:20" x14ac:dyDescent="0.25">
      <c r="O178" t="str">
        <f t="shared" si="166"/>
        <v>310a</v>
      </c>
      <c r="P178">
        <v>3</v>
      </c>
      <c r="Q178" s="129" t="s">
        <v>144</v>
      </c>
      <c r="R178" s="65">
        <v>500</v>
      </c>
      <c r="S178" s="121" t="e">
        <f>$S$177</f>
        <v>#VALUE!</v>
      </c>
      <c r="T178" s="4"/>
    </row>
    <row r="179" spans="15:20" x14ac:dyDescent="0.25">
      <c r="O179" t="str">
        <f t="shared" si="166"/>
        <v>311</v>
      </c>
      <c r="P179">
        <v>3</v>
      </c>
      <c r="Q179" s="129">
        <v>11</v>
      </c>
      <c r="R179" s="62">
        <v>500</v>
      </c>
      <c r="S179" s="122" t="e">
        <f>$S$178</f>
        <v>#VALUE!</v>
      </c>
      <c r="T179" s="4"/>
    </row>
    <row r="180" spans="15:20" x14ac:dyDescent="0.25">
      <c r="O180" t="str">
        <f t="shared" si="166"/>
        <v>311a</v>
      </c>
      <c r="P180">
        <v>3</v>
      </c>
      <c r="Q180" s="129" t="s">
        <v>145</v>
      </c>
      <c r="R180" s="65">
        <v>500</v>
      </c>
      <c r="S180" s="67">
        <v>170</v>
      </c>
      <c r="T180" s="4"/>
    </row>
    <row r="181" spans="15:20" x14ac:dyDescent="0.25">
      <c r="O181" t="str">
        <f t="shared" si="166"/>
        <v>312</v>
      </c>
      <c r="P181">
        <v>3</v>
      </c>
      <c r="Q181" s="129">
        <v>12</v>
      </c>
      <c r="R181" s="62">
        <v>500</v>
      </c>
      <c r="S181" s="38">
        <v>170</v>
      </c>
      <c r="T181" s="4"/>
    </row>
    <row r="182" spans="15:20" ht="15.75" thickBot="1" x14ac:dyDescent="0.3">
      <c r="O182" t="str">
        <f t="shared" si="166"/>
        <v>312a</v>
      </c>
      <c r="P182">
        <v>3</v>
      </c>
      <c r="Q182" s="129" t="s">
        <v>146</v>
      </c>
      <c r="R182" s="116">
        <v>0</v>
      </c>
      <c r="S182" s="117">
        <v>170</v>
      </c>
      <c r="T182" s="4"/>
    </row>
    <row r="183" spans="15:20" x14ac:dyDescent="0.25">
      <c r="O183" t="str">
        <f t="shared" si="166"/>
        <v>313</v>
      </c>
      <c r="P183">
        <v>3</v>
      </c>
      <c r="Q183" s="129">
        <v>13</v>
      </c>
      <c r="R183" s="62">
        <v>0</v>
      </c>
      <c r="S183" s="63">
        <v>0</v>
      </c>
      <c r="T183" s="4" t="s">
        <v>164</v>
      </c>
    </row>
    <row r="184" spans="15:20" x14ac:dyDescent="0.25">
      <c r="O184" t="str">
        <f t="shared" si="166"/>
        <v>313a</v>
      </c>
      <c r="P184">
        <v>3</v>
      </c>
      <c r="Q184" s="129" t="s">
        <v>149</v>
      </c>
      <c r="R184" s="62">
        <v>-525</v>
      </c>
      <c r="S184" s="63">
        <v>0</v>
      </c>
      <c r="T184" s="4"/>
    </row>
    <row r="185" spans="15:20" x14ac:dyDescent="0.25">
      <c r="O185" t="str">
        <f t="shared" si="166"/>
        <v>314</v>
      </c>
      <c r="P185">
        <v>3</v>
      </c>
      <c r="Q185" s="129">
        <v>14</v>
      </c>
      <c r="R185" s="62">
        <v>-525</v>
      </c>
      <c r="S185" s="38">
        <v>0</v>
      </c>
      <c r="T185" s="4"/>
    </row>
    <row r="186" spans="15:20" x14ac:dyDescent="0.25">
      <c r="O186" t="str">
        <f t="shared" si="166"/>
        <v>314a</v>
      </c>
      <c r="P186">
        <v>3</v>
      </c>
      <c r="Q186" s="129" t="s">
        <v>150</v>
      </c>
      <c r="R186" s="62">
        <v>-525</v>
      </c>
      <c r="S186" s="67">
        <v>500</v>
      </c>
      <c r="T186" s="4"/>
    </row>
    <row r="187" spans="15:20" x14ac:dyDescent="0.25">
      <c r="O187" t="str">
        <f t="shared" si="166"/>
        <v>315</v>
      </c>
      <c r="P187">
        <v>3</v>
      </c>
      <c r="Q187" s="129">
        <v>15</v>
      </c>
      <c r="R187" s="62">
        <v>-525</v>
      </c>
      <c r="S187" s="63">
        <v>500</v>
      </c>
      <c r="T187" s="4"/>
    </row>
    <row r="188" spans="15:20" x14ac:dyDescent="0.25">
      <c r="O188" t="str">
        <f t="shared" si="166"/>
        <v>315a</v>
      </c>
      <c r="P188">
        <v>3</v>
      </c>
      <c r="Q188" s="129" t="s">
        <v>151</v>
      </c>
      <c r="R188" s="62">
        <v>-525</v>
      </c>
      <c r="S188" s="123" t="e">
        <f>$S$189</f>
        <v>#VALUE!</v>
      </c>
      <c r="T188" s="4"/>
    </row>
    <row r="189" spans="15:20" x14ac:dyDescent="0.25">
      <c r="O189" t="str">
        <f t="shared" si="166"/>
        <v>316</v>
      </c>
      <c r="P189">
        <v>3</v>
      </c>
      <c r="Q189" s="129">
        <v>16</v>
      </c>
      <c r="R189" s="62">
        <f>R155-25</f>
        <v>-525</v>
      </c>
      <c r="S189" s="123" t="e">
        <f>$S$195-77</f>
        <v>#VALUE!</v>
      </c>
      <c r="T189" s="4"/>
    </row>
    <row r="190" spans="15:20" x14ac:dyDescent="0.25">
      <c r="O190" t="str">
        <f t="shared" si="166"/>
        <v>316a</v>
      </c>
      <c r="P190">
        <v>3</v>
      </c>
      <c r="Q190" s="129" t="s">
        <v>152</v>
      </c>
      <c r="R190" s="62">
        <f>R195-((R195-R189)*COS(15*PI()/180))</f>
        <v>-523.22814296703154</v>
      </c>
      <c r="S190" s="62" t="e">
        <f>S189+(S195-S189)*SIN(15*PI()/180)</f>
        <v>#VALUE!</v>
      </c>
      <c r="T190" s="4"/>
    </row>
    <row r="191" spans="15:20" x14ac:dyDescent="0.25">
      <c r="O191" t="str">
        <f t="shared" si="166"/>
        <v>316b</v>
      </c>
      <c r="P191">
        <v>3</v>
      </c>
      <c r="Q191" s="129" t="s">
        <v>153</v>
      </c>
      <c r="R191" s="62">
        <f>R195-((R195-R189)*COS(30*PI()/180))</f>
        <v>-518.03332099679085</v>
      </c>
      <c r="S191" s="62" t="e">
        <f>S189+(S195-S189)*SIN(30*PI()/180)</f>
        <v>#VALUE!</v>
      </c>
      <c r="T191" s="4"/>
    </row>
    <row r="192" spans="15:20" x14ac:dyDescent="0.25">
      <c r="O192" t="str">
        <f t="shared" si="166"/>
        <v>316c</v>
      </c>
      <c r="P192">
        <v>3</v>
      </c>
      <c r="Q192" s="115" t="s">
        <v>184</v>
      </c>
      <c r="R192" s="62">
        <f>R195-((R195-R189)*COS(45*PI()/180))</f>
        <v>-509.76955262170048</v>
      </c>
      <c r="S192" s="62" t="e">
        <f>S189+(S195-S189)*SIN(45*PI()/180)</f>
        <v>#VALUE!</v>
      </c>
      <c r="T192" s="4"/>
    </row>
    <row r="193" spans="15:20" x14ac:dyDescent="0.25">
      <c r="O193" t="str">
        <f t="shared" si="166"/>
        <v>316d</v>
      </c>
      <c r="P193">
        <v>3</v>
      </c>
      <c r="Q193" s="115" t="s">
        <v>185</v>
      </c>
      <c r="R193" s="62">
        <f>R195-((R195-R189)*COS(60*PI()/180))</f>
        <v>-499</v>
      </c>
      <c r="S193" s="62" t="e">
        <f>S189+(S195-S189)*SIN(60*PI()/180)</f>
        <v>#VALUE!</v>
      </c>
      <c r="T193" s="4"/>
    </row>
    <row r="194" spans="15:20" x14ac:dyDescent="0.25">
      <c r="O194" t="str">
        <f t="shared" si="166"/>
        <v>316e</v>
      </c>
      <c r="P194">
        <v>3</v>
      </c>
      <c r="Q194" s="115" t="s">
        <v>186</v>
      </c>
      <c r="R194" s="62">
        <f>R195-((R195-R189)*COS(75*PI()/180))</f>
        <v>-486.45859034533106</v>
      </c>
      <c r="S194" s="62" t="e">
        <f>S189+(S195-S189)*SIN(75*PI()/180)</f>
        <v>#VALUE!</v>
      </c>
      <c r="T194" s="4"/>
    </row>
    <row r="195" spans="15:20" x14ac:dyDescent="0.25">
      <c r="O195" t="str">
        <f t="shared" si="166"/>
        <v>316f</v>
      </c>
      <c r="P195">
        <v>3</v>
      </c>
      <c r="Q195" s="115" t="s">
        <v>187</v>
      </c>
      <c r="R195">
        <f>$R$196</f>
        <v>-473</v>
      </c>
      <c r="S195" s="120" t="e">
        <f>$S$196</f>
        <v>#VALUE!</v>
      </c>
      <c r="T195" s="4"/>
    </row>
    <row r="196" spans="15:20" x14ac:dyDescent="0.25">
      <c r="O196" t="str">
        <f t="shared" si="166"/>
        <v>317</v>
      </c>
      <c r="P196">
        <v>3</v>
      </c>
      <c r="Q196" s="129">
        <v>17</v>
      </c>
      <c r="R196" s="62">
        <f>R162-25</f>
        <v>-473</v>
      </c>
      <c r="S196" s="123" t="e">
        <f>$S$162+25</f>
        <v>#VALUE!</v>
      </c>
      <c r="T196" s="4"/>
    </row>
    <row r="197" spans="15:20" x14ac:dyDescent="0.25">
      <c r="O197" t="str">
        <f t="shared" si="166"/>
        <v>317a</v>
      </c>
      <c r="P197">
        <v>3</v>
      </c>
      <c r="Q197" s="129" t="s">
        <v>154</v>
      </c>
      <c r="R197" s="62">
        <f>R163-25</f>
        <v>-473</v>
      </c>
      <c r="S197" s="123" t="e">
        <f>S163+(Tabelle2!W26*10)</f>
        <v>#VALUE!</v>
      </c>
      <c r="T197" s="4"/>
    </row>
    <row r="198" spans="15:20" x14ac:dyDescent="0.25">
      <c r="O198" t="str">
        <f t="shared" ref="O198:O261" si="168">P198&amp;Q198</f>
        <v>318</v>
      </c>
      <c r="P198">
        <v>3</v>
      </c>
      <c r="Q198" s="129">
        <v>18</v>
      </c>
      <c r="R198" s="62">
        <f>R164-25</f>
        <v>-473</v>
      </c>
      <c r="S198" s="123" t="e">
        <f>S164+(Tabelle2!W26*10)</f>
        <v>#VALUE!</v>
      </c>
      <c r="T198" s="4"/>
    </row>
    <row r="199" spans="15:20" x14ac:dyDescent="0.25">
      <c r="O199" t="str">
        <f t="shared" si="168"/>
        <v>318a</v>
      </c>
      <c r="P199">
        <v>3</v>
      </c>
      <c r="Q199" s="129" t="s">
        <v>155</v>
      </c>
      <c r="R199" s="65">
        <v>0</v>
      </c>
      <c r="S199" s="123" t="e">
        <f>S165+(Tabelle2!W26*10)</f>
        <v>#VALUE!</v>
      </c>
      <c r="T199" s="4"/>
    </row>
    <row r="200" spans="15:20" x14ac:dyDescent="0.25">
      <c r="O200" t="str">
        <f t="shared" si="168"/>
        <v>319</v>
      </c>
      <c r="P200">
        <v>3</v>
      </c>
      <c r="Q200" s="129">
        <v>19</v>
      </c>
      <c r="R200" s="62">
        <v>0</v>
      </c>
      <c r="S200" s="123" t="e">
        <f>S166+(Tabelle2!W26*10)</f>
        <v>#VALUE!</v>
      </c>
      <c r="T200" s="4"/>
    </row>
    <row r="201" spans="15:20" x14ac:dyDescent="0.25">
      <c r="O201" t="str">
        <f t="shared" si="168"/>
        <v>319a</v>
      </c>
      <c r="P201">
        <v>3</v>
      </c>
      <c r="Q201" s="129" t="s">
        <v>156</v>
      </c>
      <c r="R201" s="65">
        <f>$R$167+25</f>
        <v>177</v>
      </c>
      <c r="S201" s="123" t="e">
        <f>S167+(Tabelle2!W26*10)</f>
        <v>#VALUE!</v>
      </c>
      <c r="T201" s="4"/>
    </row>
    <row r="202" spans="15:20" x14ac:dyDescent="0.25">
      <c r="O202" t="str">
        <f t="shared" si="168"/>
        <v>320</v>
      </c>
      <c r="P202">
        <v>3</v>
      </c>
      <c r="Q202" s="129">
        <v>20</v>
      </c>
      <c r="R202" s="65">
        <f>$R$167+25</f>
        <v>177</v>
      </c>
      <c r="S202" s="123" t="e">
        <f>S168+(Tabelle2!W26*10)</f>
        <v>#VALUE!</v>
      </c>
      <c r="T202" s="4"/>
    </row>
    <row r="203" spans="15:20" x14ac:dyDescent="0.25">
      <c r="O203" t="str">
        <f t="shared" si="168"/>
        <v>320a</v>
      </c>
      <c r="P203">
        <v>3</v>
      </c>
      <c r="Q203" s="129" t="s">
        <v>157</v>
      </c>
      <c r="R203" s="65">
        <f>$R$167+25</f>
        <v>177</v>
      </c>
      <c r="S203" s="123" t="e">
        <f>S169+25</f>
        <v>#VALUE!</v>
      </c>
      <c r="T203" s="4"/>
    </row>
    <row r="204" spans="15:20" x14ac:dyDescent="0.25">
      <c r="O204" t="str">
        <f t="shared" si="168"/>
        <v>321</v>
      </c>
      <c r="P204">
        <v>3</v>
      </c>
      <c r="Q204" s="129">
        <v>21</v>
      </c>
      <c r="R204" s="65">
        <f>$R$167+25</f>
        <v>177</v>
      </c>
      <c r="S204" s="123" t="e">
        <f>S170+25</f>
        <v>#VALUE!</v>
      </c>
      <c r="T204" s="4"/>
    </row>
    <row r="205" spans="15:20" x14ac:dyDescent="0.25">
      <c r="O205" t="str">
        <f t="shared" si="168"/>
        <v>321a</v>
      </c>
      <c r="P205">
        <v>3</v>
      </c>
      <c r="Q205" s="129" t="s">
        <v>158</v>
      </c>
      <c r="R205" s="62">
        <f>R204+((R210-R204)*COS(75*PI()/180))</f>
        <v>267.06902769567722</v>
      </c>
      <c r="S205" s="62" t="e">
        <f>S210+(S204-S210)*SIN(75*PI()/180)</f>
        <v>#VALUE!</v>
      </c>
      <c r="T205" s="4"/>
    </row>
    <row r="206" spans="15:20" x14ac:dyDescent="0.25">
      <c r="O206" t="str">
        <f t="shared" si="168"/>
        <v>321b</v>
      </c>
      <c r="P206">
        <v>3</v>
      </c>
      <c r="Q206" s="129" t="s">
        <v>159</v>
      </c>
      <c r="R206" s="62">
        <f>R204+((R210-R204)*COS(60*PI()/180))</f>
        <v>351</v>
      </c>
      <c r="S206" s="62" t="e">
        <f>S210+(S204-S210)*SIN(60*PI()/180)</f>
        <v>#VALUE!</v>
      </c>
      <c r="T206" s="4"/>
    </row>
    <row r="207" spans="15:20" x14ac:dyDescent="0.25">
      <c r="O207" t="str">
        <f t="shared" si="168"/>
        <v>321c</v>
      </c>
      <c r="P207">
        <v>3</v>
      </c>
      <c r="Q207" s="115" t="s">
        <v>188</v>
      </c>
      <c r="R207" s="62">
        <f>R204+((R210-R204)*COS(45*PI()/180))</f>
        <v>423.07315985291859</v>
      </c>
      <c r="S207" s="62" t="e">
        <f>S210+(S204-S210)*SIN(45*PI()/180)</f>
        <v>#VALUE!</v>
      </c>
      <c r="T207" s="4"/>
    </row>
    <row r="208" spans="15:20" x14ac:dyDescent="0.25">
      <c r="O208" t="str">
        <f t="shared" si="168"/>
        <v>321d</v>
      </c>
      <c r="P208">
        <v>3</v>
      </c>
      <c r="Q208" s="115" t="s">
        <v>189</v>
      </c>
      <c r="R208" s="62">
        <f>R204+((R210-R204)*COS(30*PI()/180))</f>
        <v>478.37684051698466</v>
      </c>
      <c r="S208" s="62" t="e">
        <f>S210+(S204-S210)*SIN(30*PI()/180)</f>
        <v>#VALUE!</v>
      </c>
      <c r="T208" s="4"/>
    </row>
    <row r="209" spans="14:20" x14ac:dyDescent="0.25">
      <c r="O209" t="str">
        <f t="shared" si="168"/>
        <v>321e</v>
      </c>
      <c r="P209">
        <v>3</v>
      </c>
      <c r="Q209" s="115" t="s">
        <v>190</v>
      </c>
      <c r="R209" s="62">
        <f>R204+((R210-R204)*COS(15*PI()/180))</f>
        <v>513.14218754859576</v>
      </c>
      <c r="S209" s="62" t="e">
        <f>S210+(S204-S210)*SIN(15*PI()/180)</f>
        <v>#VALUE!</v>
      </c>
      <c r="T209" s="4"/>
    </row>
    <row r="210" spans="14:20" x14ac:dyDescent="0.25">
      <c r="O210" t="str">
        <f t="shared" si="168"/>
        <v>321f</v>
      </c>
      <c r="P210">
        <v>3</v>
      </c>
      <c r="Q210" s="115" t="s">
        <v>191</v>
      </c>
      <c r="R210">
        <f>$R$211</f>
        <v>525</v>
      </c>
      <c r="S210" s="120" t="e">
        <f>S204-373</f>
        <v>#VALUE!</v>
      </c>
      <c r="T210" s="4"/>
    </row>
    <row r="211" spans="14:20" x14ac:dyDescent="0.25">
      <c r="O211" t="str">
        <f t="shared" si="168"/>
        <v>322</v>
      </c>
      <c r="P211">
        <v>3</v>
      </c>
      <c r="Q211" s="129">
        <v>22</v>
      </c>
      <c r="R211" s="65">
        <v>525</v>
      </c>
      <c r="S211" s="123" t="e">
        <f>$S$210</f>
        <v>#VALUE!</v>
      </c>
      <c r="T211" s="4"/>
    </row>
    <row r="212" spans="14:20" x14ac:dyDescent="0.25">
      <c r="O212" t="str">
        <f t="shared" si="168"/>
        <v>322a</v>
      </c>
      <c r="P212">
        <v>3</v>
      </c>
      <c r="Q212" s="129" t="s">
        <v>160</v>
      </c>
      <c r="R212" s="65">
        <v>525</v>
      </c>
      <c r="S212" s="123" t="e">
        <f>$S$210</f>
        <v>#VALUE!</v>
      </c>
      <c r="T212" s="4"/>
    </row>
    <row r="213" spans="14:20" x14ac:dyDescent="0.25">
      <c r="O213" t="str">
        <f t="shared" si="168"/>
        <v>323</v>
      </c>
      <c r="P213">
        <v>3</v>
      </c>
      <c r="Q213" s="129">
        <v>23</v>
      </c>
      <c r="R213" s="65">
        <v>525</v>
      </c>
      <c r="S213" s="123" t="e">
        <f>$S$210</f>
        <v>#VALUE!</v>
      </c>
      <c r="T213" s="4"/>
    </row>
    <row r="214" spans="14:20" x14ac:dyDescent="0.25">
      <c r="O214" t="str">
        <f t="shared" si="168"/>
        <v>323a</v>
      </c>
      <c r="P214">
        <v>3</v>
      </c>
      <c r="Q214" s="129" t="s">
        <v>161</v>
      </c>
      <c r="R214" s="65">
        <v>525</v>
      </c>
      <c r="S214" s="67">
        <v>0</v>
      </c>
      <c r="T214" s="4"/>
    </row>
    <row r="215" spans="14:20" x14ac:dyDescent="0.25">
      <c r="O215" t="str">
        <f t="shared" si="168"/>
        <v>324</v>
      </c>
      <c r="P215">
        <v>3</v>
      </c>
      <c r="Q215" s="129">
        <v>24</v>
      </c>
      <c r="R215" s="65">
        <v>525</v>
      </c>
      <c r="S215" s="38">
        <v>0</v>
      </c>
      <c r="T215" s="4"/>
    </row>
    <row r="216" spans="14:20" x14ac:dyDescent="0.25">
      <c r="O216" t="str">
        <f t="shared" si="168"/>
        <v>324a</v>
      </c>
      <c r="P216">
        <v>3</v>
      </c>
      <c r="Q216" s="129" t="s">
        <v>162</v>
      </c>
      <c r="R216" s="65">
        <v>0</v>
      </c>
      <c r="S216" s="67">
        <v>0</v>
      </c>
      <c r="T216" s="4"/>
    </row>
    <row r="217" spans="14:20" x14ac:dyDescent="0.25">
      <c r="O217" t="str">
        <f t="shared" si="168"/>
        <v>325</v>
      </c>
      <c r="P217">
        <v>3</v>
      </c>
      <c r="Q217" s="129">
        <v>25</v>
      </c>
      <c r="R217" s="118">
        <f>$R$162</f>
        <v>-448</v>
      </c>
      <c r="S217" s="124" t="e">
        <f>$S$199</f>
        <v>#VALUE!</v>
      </c>
      <c r="T217" s="4" t="s">
        <v>165</v>
      </c>
    </row>
    <row r="218" spans="14:20" x14ac:dyDescent="0.25">
      <c r="O218" t="str">
        <f t="shared" si="168"/>
        <v>325a</v>
      </c>
      <c r="P218">
        <v>3</v>
      </c>
      <c r="Q218" s="129" t="s">
        <v>166</v>
      </c>
      <c r="R218" s="118">
        <f>$R$162</f>
        <v>-448</v>
      </c>
      <c r="S218" s="124" t="e">
        <f>$S$167</f>
        <v>#VALUE!</v>
      </c>
      <c r="T218" s="4"/>
    </row>
    <row r="219" spans="14:20" x14ac:dyDescent="0.25">
      <c r="O219" t="str">
        <f t="shared" si="168"/>
        <v>326</v>
      </c>
      <c r="P219">
        <v>3</v>
      </c>
      <c r="Q219" s="129">
        <v>26</v>
      </c>
      <c r="R219" s="119">
        <f>R168</f>
        <v>152</v>
      </c>
      <c r="S219" s="125" t="e">
        <f>S217</f>
        <v>#VALUE!</v>
      </c>
      <c r="T219" s="4"/>
    </row>
    <row r="220" spans="14:20" ht="15.75" thickBot="1" x14ac:dyDescent="0.3">
      <c r="O220" t="str">
        <f t="shared" si="168"/>
        <v>326a</v>
      </c>
      <c r="P220">
        <v>3</v>
      </c>
      <c r="Q220" s="130" t="s">
        <v>167</v>
      </c>
      <c r="R220" s="131">
        <f>R169</f>
        <v>152</v>
      </c>
      <c r="S220" s="132" t="e">
        <f>S218</f>
        <v>#VALUE!</v>
      </c>
      <c r="T220" s="6"/>
    </row>
    <row r="221" spans="14:20" x14ac:dyDescent="0.25">
      <c r="N221" s="137" t="s">
        <v>279</v>
      </c>
      <c r="O221" t="str">
        <f t="shared" si="168"/>
        <v>41</v>
      </c>
      <c r="P221" s="137">
        <v>4</v>
      </c>
      <c r="Q221" s="141">
        <v>1</v>
      </c>
      <c r="R221" s="142">
        <v>0</v>
      </c>
      <c r="S221" s="143">
        <v>90</v>
      </c>
      <c r="T221" s="144" t="s">
        <v>163</v>
      </c>
    </row>
    <row r="222" spans="14:20" x14ac:dyDescent="0.25">
      <c r="N222" s="120" t="e">
        <f>(Schachtselector!C146+Schachtselector!C180)</f>
        <v>#VALUE!</v>
      </c>
      <c r="O222" t="str">
        <f t="shared" si="168"/>
        <v>41a</v>
      </c>
      <c r="P222">
        <v>4</v>
      </c>
      <c r="Q222" s="129" t="s">
        <v>135</v>
      </c>
      <c r="R222" s="65">
        <v>-275</v>
      </c>
      <c r="S222" s="67">
        <v>90</v>
      </c>
      <c r="T222" s="4"/>
    </row>
    <row r="223" spans="14:20" x14ac:dyDescent="0.25">
      <c r="O223" t="str">
        <f t="shared" si="168"/>
        <v>42</v>
      </c>
      <c r="P223">
        <v>4</v>
      </c>
      <c r="Q223" s="129">
        <v>2</v>
      </c>
      <c r="R223" s="60">
        <v>-275</v>
      </c>
      <c r="S223" s="38">
        <v>90</v>
      </c>
      <c r="T223" s="4"/>
    </row>
    <row r="224" spans="14:20" x14ac:dyDescent="0.25">
      <c r="O224" t="str">
        <f t="shared" si="168"/>
        <v>42a</v>
      </c>
      <c r="P224">
        <v>4</v>
      </c>
      <c r="Q224" s="129" t="s">
        <v>136</v>
      </c>
      <c r="R224" s="65">
        <v>-625</v>
      </c>
      <c r="S224" s="67">
        <v>900</v>
      </c>
      <c r="T224" s="4"/>
    </row>
    <row r="225" spans="15:20" x14ac:dyDescent="0.25">
      <c r="O225" t="str">
        <f t="shared" si="168"/>
        <v>43</v>
      </c>
      <c r="P225">
        <v>4</v>
      </c>
      <c r="Q225" s="129">
        <v>3</v>
      </c>
      <c r="R225" s="60">
        <v>-625</v>
      </c>
      <c r="S225" s="67">
        <v>900</v>
      </c>
      <c r="T225" s="4"/>
    </row>
    <row r="226" spans="15:20" x14ac:dyDescent="0.25">
      <c r="O226" t="str">
        <f t="shared" si="168"/>
        <v>43a</v>
      </c>
      <c r="P226">
        <v>4</v>
      </c>
      <c r="Q226" s="129" t="s">
        <v>137</v>
      </c>
      <c r="R226" s="62">
        <v>-625</v>
      </c>
      <c r="S226" s="67">
        <v>900</v>
      </c>
      <c r="T226" s="4"/>
    </row>
    <row r="227" spans="15:20" x14ac:dyDescent="0.25">
      <c r="O227" t="str">
        <f t="shared" si="168"/>
        <v>44</v>
      </c>
      <c r="P227">
        <v>4</v>
      </c>
      <c r="Q227" s="129">
        <v>4</v>
      </c>
      <c r="R227" s="60">
        <v>-625</v>
      </c>
      <c r="S227" s="67">
        <v>900</v>
      </c>
      <c r="T227" s="4"/>
    </row>
    <row r="228" spans="15:20" x14ac:dyDescent="0.25">
      <c r="O228" t="str">
        <f t="shared" si="168"/>
        <v>44a</v>
      </c>
      <c r="P228">
        <v>4</v>
      </c>
      <c r="Q228" s="129" t="s">
        <v>138</v>
      </c>
      <c r="R228" s="62">
        <v>-625</v>
      </c>
      <c r="S228" s="121" t="e">
        <f t="shared" ref="S228:S233" si="169">$S$241</f>
        <v>#VALUE!</v>
      </c>
      <c r="T228" s="4"/>
    </row>
    <row r="229" spans="15:20" x14ac:dyDescent="0.25">
      <c r="O229" t="str">
        <f t="shared" si="168"/>
        <v>44b</v>
      </c>
      <c r="P229">
        <v>4</v>
      </c>
      <c r="Q229" s="129" t="s">
        <v>147</v>
      </c>
      <c r="R229" s="62">
        <v>-625</v>
      </c>
      <c r="S229" s="121" t="e">
        <f t="shared" si="169"/>
        <v>#VALUE!</v>
      </c>
      <c r="T229" s="4"/>
    </row>
    <row r="230" spans="15:20" x14ac:dyDescent="0.25">
      <c r="O230" t="str">
        <f t="shared" si="168"/>
        <v>44c</v>
      </c>
      <c r="P230">
        <v>4</v>
      </c>
      <c r="Q230" s="115" t="s">
        <v>176</v>
      </c>
      <c r="R230" s="62">
        <v>-625</v>
      </c>
      <c r="S230" s="121" t="e">
        <f t="shared" si="169"/>
        <v>#VALUE!</v>
      </c>
      <c r="T230" s="4"/>
    </row>
    <row r="231" spans="15:20" x14ac:dyDescent="0.25">
      <c r="O231" t="str">
        <f t="shared" si="168"/>
        <v>44d</v>
      </c>
      <c r="P231">
        <v>4</v>
      </c>
      <c r="Q231" s="115" t="s">
        <v>177</v>
      </c>
      <c r="R231" s="62">
        <v>-625</v>
      </c>
      <c r="S231" s="121" t="e">
        <f t="shared" si="169"/>
        <v>#VALUE!</v>
      </c>
      <c r="T231" s="4"/>
    </row>
    <row r="232" spans="15:20" x14ac:dyDescent="0.25">
      <c r="O232" t="str">
        <f t="shared" si="168"/>
        <v>44e</v>
      </c>
      <c r="P232">
        <v>4</v>
      </c>
      <c r="Q232" s="115" t="s">
        <v>178</v>
      </c>
      <c r="R232" s="62">
        <v>-625</v>
      </c>
      <c r="S232" s="121" t="e">
        <f t="shared" si="169"/>
        <v>#VALUE!</v>
      </c>
      <c r="T232" s="4"/>
    </row>
    <row r="233" spans="15:20" x14ac:dyDescent="0.25">
      <c r="O233" t="str">
        <f t="shared" si="168"/>
        <v>44f</v>
      </c>
      <c r="P233">
        <v>4</v>
      </c>
      <c r="Q233" s="115" t="s">
        <v>179</v>
      </c>
      <c r="R233" s="62">
        <v>-625</v>
      </c>
      <c r="S233" s="121" t="e">
        <f t="shared" si="169"/>
        <v>#VALUE!</v>
      </c>
      <c r="T233" s="4"/>
    </row>
    <row r="234" spans="15:20" x14ac:dyDescent="0.25">
      <c r="O234" t="str">
        <f t="shared" si="168"/>
        <v>45</v>
      </c>
      <c r="P234">
        <v>4</v>
      </c>
      <c r="Q234" s="129">
        <v>5</v>
      </c>
      <c r="R234" s="62">
        <v>-625</v>
      </c>
      <c r="S234" s="121" t="e">
        <f>$S$241</f>
        <v>#VALUE!</v>
      </c>
      <c r="T234" s="4"/>
    </row>
    <row r="235" spans="15:20" x14ac:dyDescent="0.25">
      <c r="O235" t="str">
        <f t="shared" si="168"/>
        <v>45a</v>
      </c>
      <c r="P235">
        <v>4</v>
      </c>
      <c r="Q235" s="129" t="s">
        <v>139</v>
      </c>
      <c r="R235" s="62">
        <f>$R$236</f>
        <v>-290</v>
      </c>
      <c r="S235" s="121" t="e">
        <f t="shared" ref="S235:S240" si="170">$N$222</f>
        <v>#VALUE!</v>
      </c>
      <c r="T235" s="4"/>
    </row>
    <row r="236" spans="15:20" x14ac:dyDescent="0.25">
      <c r="O236" t="str">
        <f t="shared" si="168"/>
        <v>46</v>
      </c>
      <c r="P236">
        <v>4</v>
      </c>
      <c r="Q236" s="129">
        <v>6</v>
      </c>
      <c r="R236" s="62">
        <v>-290</v>
      </c>
      <c r="S236" s="121" t="e">
        <f t="shared" si="170"/>
        <v>#VALUE!</v>
      </c>
      <c r="T236" s="4"/>
    </row>
    <row r="237" spans="15:20" x14ac:dyDescent="0.25">
      <c r="O237" t="str">
        <f t="shared" si="168"/>
        <v>46a</v>
      </c>
      <c r="P237">
        <v>4</v>
      </c>
      <c r="Q237" s="129" t="s">
        <v>140</v>
      </c>
      <c r="R237" s="65">
        <v>0</v>
      </c>
      <c r="S237" s="121" t="e">
        <f t="shared" si="170"/>
        <v>#VALUE!</v>
      </c>
      <c r="T237" s="4"/>
    </row>
    <row r="238" spans="15:20" x14ac:dyDescent="0.25">
      <c r="O238" t="str">
        <f t="shared" si="168"/>
        <v>47</v>
      </c>
      <c r="P238">
        <v>4</v>
      </c>
      <c r="Q238" s="129">
        <v>7</v>
      </c>
      <c r="R238" s="60">
        <v>0</v>
      </c>
      <c r="S238" s="121" t="e">
        <f t="shared" si="170"/>
        <v>#VALUE!</v>
      </c>
      <c r="T238" s="4"/>
    </row>
    <row r="239" spans="15:20" x14ac:dyDescent="0.25">
      <c r="O239" t="str">
        <f t="shared" si="168"/>
        <v>47a</v>
      </c>
      <c r="P239">
        <v>4</v>
      </c>
      <c r="Q239" s="129" t="s">
        <v>141</v>
      </c>
      <c r="R239" s="62">
        <f>R240</f>
        <v>290</v>
      </c>
      <c r="S239" s="121" t="e">
        <f t="shared" si="170"/>
        <v>#VALUE!</v>
      </c>
      <c r="T239" s="4"/>
    </row>
    <row r="240" spans="15:20" x14ac:dyDescent="0.25">
      <c r="O240" t="str">
        <f t="shared" si="168"/>
        <v>48</v>
      </c>
      <c r="P240">
        <v>4</v>
      </c>
      <c r="Q240" s="129">
        <v>8</v>
      </c>
      <c r="R240" s="60">
        <v>290</v>
      </c>
      <c r="S240" s="121" t="e">
        <f t="shared" si="170"/>
        <v>#VALUE!</v>
      </c>
      <c r="T240" s="4"/>
    </row>
    <row r="241" spans="15:20" x14ac:dyDescent="0.25">
      <c r="O241" t="str">
        <f t="shared" si="168"/>
        <v>48a</v>
      </c>
      <c r="P241">
        <v>4</v>
      </c>
      <c r="Q241" s="129" t="s">
        <v>142</v>
      </c>
      <c r="R241" s="60">
        <v>625</v>
      </c>
      <c r="S241" s="123" t="e">
        <f>S240-500</f>
        <v>#VALUE!</v>
      </c>
      <c r="T241" s="4"/>
    </row>
    <row r="242" spans="15:20" x14ac:dyDescent="0.25">
      <c r="O242" t="str">
        <f t="shared" si="168"/>
        <v>49</v>
      </c>
      <c r="P242">
        <v>4</v>
      </c>
      <c r="Q242" s="129">
        <v>9</v>
      </c>
      <c r="R242" s="60">
        <v>625</v>
      </c>
      <c r="S242" s="123" t="e">
        <f>S241</f>
        <v>#VALUE!</v>
      </c>
      <c r="T242" s="4"/>
    </row>
    <row r="243" spans="15:20" x14ac:dyDescent="0.25">
      <c r="O243" t="str">
        <f t="shared" si="168"/>
        <v>49a</v>
      </c>
      <c r="P243">
        <v>4</v>
      </c>
      <c r="Q243" s="129" t="s">
        <v>143</v>
      </c>
      <c r="R243" s="60">
        <v>625</v>
      </c>
      <c r="S243" s="121" t="e">
        <f t="shared" ref="S243:S249" si="171">$S$242</f>
        <v>#VALUE!</v>
      </c>
      <c r="T243" s="4"/>
    </row>
    <row r="244" spans="15:20" x14ac:dyDescent="0.25">
      <c r="O244" t="str">
        <f t="shared" si="168"/>
        <v>49b</v>
      </c>
      <c r="P244">
        <v>4</v>
      </c>
      <c r="Q244" s="129" t="s">
        <v>148</v>
      </c>
      <c r="R244" s="60">
        <v>625</v>
      </c>
      <c r="S244" s="121" t="e">
        <f t="shared" si="171"/>
        <v>#VALUE!</v>
      </c>
      <c r="T244" s="4"/>
    </row>
    <row r="245" spans="15:20" x14ac:dyDescent="0.25">
      <c r="O245" t="str">
        <f t="shared" si="168"/>
        <v>49c</v>
      </c>
      <c r="P245">
        <v>4</v>
      </c>
      <c r="Q245" s="115" t="s">
        <v>180</v>
      </c>
      <c r="R245" s="60">
        <v>625</v>
      </c>
      <c r="S245" s="121" t="e">
        <f t="shared" si="171"/>
        <v>#VALUE!</v>
      </c>
      <c r="T245" s="4"/>
    </row>
    <row r="246" spans="15:20" x14ac:dyDescent="0.25">
      <c r="O246" t="str">
        <f t="shared" si="168"/>
        <v>49d</v>
      </c>
      <c r="P246">
        <v>4</v>
      </c>
      <c r="Q246" s="115" t="s">
        <v>181</v>
      </c>
      <c r="R246" s="60">
        <v>625</v>
      </c>
      <c r="S246" s="121" t="e">
        <f t="shared" si="171"/>
        <v>#VALUE!</v>
      </c>
      <c r="T246" s="4"/>
    </row>
    <row r="247" spans="15:20" x14ac:dyDescent="0.25">
      <c r="O247" t="str">
        <f t="shared" si="168"/>
        <v>49e</v>
      </c>
      <c r="P247">
        <v>4</v>
      </c>
      <c r="Q247" s="115" t="s">
        <v>182</v>
      </c>
      <c r="R247" s="60">
        <v>625</v>
      </c>
      <c r="S247" s="121" t="e">
        <f t="shared" si="171"/>
        <v>#VALUE!</v>
      </c>
      <c r="T247" s="4"/>
    </row>
    <row r="248" spans="15:20" x14ac:dyDescent="0.25">
      <c r="O248" t="str">
        <f t="shared" si="168"/>
        <v>49f</v>
      </c>
      <c r="P248">
        <v>4</v>
      </c>
      <c r="Q248" s="115" t="s">
        <v>183</v>
      </c>
      <c r="R248" s="60">
        <v>625</v>
      </c>
      <c r="S248" s="121" t="e">
        <f t="shared" si="171"/>
        <v>#VALUE!</v>
      </c>
      <c r="T248" s="4"/>
    </row>
    <row r="249" spans="15:20" x14ac:dyDescent="0.25">
      <c r="O249" t="str">
        <f t="shared" si="168"/>
        <v>410</v>
      </c>
      <c r="P249">
        <v>4</v>
      </c>
      <c r="Q249" s="129">
        <v>10</v>
      </c>
      <c r="R249" s="60">
        <v>625</v>
      </c>
      <c r="S249" s="121" t="e">
        <f t="shared" si="171"/>
        <v>#VALUE!</v>
      </c>
      <c r="T249" s="4"/>
    </row>
    <row r="250" spans="15:20" x14ac:dyDescent="0.25">
      <c r="O250" t="str">
        <f t="shared" si="168"/>
        <v>410a</v>
      </c>
      <c r="P250">
        <v>4</v>
      </c>
      <c r="Q250" s="129" t="s">
        <v>144</v>
      </c>
      <c r="R250" s="60">
        <v>625</v>
      </c>
      <c r="S250" s="121">
        <v>900</v>
      </c>
      <c r="T250" s="4"/>
    </row>
    <row r="251" spans="15:20" x14ac:dyDescent="0.25">
      <c r="O251" t="str">
        <f t="shared" si="168"/>
        <v>411</v>
      </c>
      <c r="P251">
        <v>4</v>
      </c>
      <c r="Q251" s="129">
        <v>11</v>
      </c>
      <c r="R251" s="60">
        <v>625</v>
      </c>
      <c r="S251" s="121">
        <v>900</v>
      </c>
      <c r="T251" s="4"/>
    </row>
    <row r="252" spans="15:20" x14ac:dyDescent="0.25">
      <c r="O252" t="str">
        <f t="shared" si="168"/>
        <v>411a</v>
      </c>
      <c r="P252">
        <v>4</v>
      </c>
      <c r="Q252" s="129" t="s">
        <v>145</v>
      </c>
      <c r="R252" s="60">
        <v>625</v>
      </c>
      <c r="S252" s="67">
        <v>90</v>
      </c>
      <c r="T252" s="4"/>
    </row>
    <row r="253" spans="15:20" x14ac:dyDescent="0.25">
      <c r="O253" t="str">
        <f t="shared" si="168"/>
        <v>412</v>
      </c>
      <c r="P253">
        <v>4</v>
      </c>
      <c r="Q253" s="129">
        <v>12</v>
      </c>
      <c r="R253" s="60">
        <v>625</v>
      </c>
      <c r="S253" s="38">
        <v>90</v>
      </c>
      <c r="T253" s="4"/>
    </row>
    <row r="254" spans="15:20" ht="15.75" thickBot="1" x14ac:dyDescent="0.3">
      <c r="O254" t="str">
        <f t="shared" si="168"/>
        <v>412a</v>
      </c>
      <c r="P254">
        <v>4</v>
      </c>
      <c r="Q254" s="129" t="s">
        <v>146</v>
      </c>
      <c r="R254" s="116">
        <v>0</v>
      </c>
      <c r="S254" s="117">
        <v>90</v>
      </c>
      <c r="T254" s="4"/>
    </row>
    <row r="255" spans="15:20" x14ac:dyDescent="0.25">
      <c r="O255" t="str">
        <f t="shared" si="168"/>
        <v>413</v>
      </c>
      <c r="P255">
        <v>4</v>
      </c>
      <c r="Q255" s="129">
        <v>13</v>
      </c>
      <c r="R255" s="62">
        <v>0</v>
      </c>
      <c r="S255" s="63">
        <v>0</v>
      </c>
      <c r="T255" s="4" t="s">
        <v>164</v>
      </c>
    </row>
    <row r="256" spans="15:20" x14ac:dyDescent="0.25">
      <c r="O256" t="str">
        <f t="shared" si="168"/>
        <v>413a</v>
      </c>
      <c r="P256">
        <v>4</v>
      </c>
      <c r="Q256" s="129" t="s">
        <v>149</v>
      </c>
      <c r="R256" s="62">
        <f>R222-90</f>
        <v>-365</v>
      </c>
      <c r="S256" s="63">
        <v>0</v>
      </c>
      <c r="T256" s="4"/>
    </row>
    <row r="257" spans="15:20" x14ac:dyDescent="0.25">
      <c r="O257" t="str">
        <f t="shared" si="168"/>
        <v>414</v>
      </c>
      <c r="P257">
        <v>4</v>
      </c>
      <c r="Q257" s="129">
        <v>14</v>
      </c>
      <c r="R257" s="62">
        <f>R223-90</f>
        <v>-365</v>
      </c>
      <c r="S257" s="38">
        <v>0</v>
      </c>
      <c r="T257" s="4"/>
    </row>
    <row r="258" spans="15:20" x14ac:dyDescent="0.25">
      <c r="O258" t="str">
        <f t="shared" si="168"/>
        <v>414a</v>
      </c>
      <c r="P258">
        <v>4</v>
      </c>
      <c r="Q258" s="129" t="s">
        <v>150</v>
      </c>
      <c r="R258" s="62">
        <v>-715</v>
      </c>
      <c r="S258" s="67">
        <v>900</v>
      </c>
      <c r="T258" s="4"/>
    </row>
    <row r="259" spans="15:20" x14ac:dyDescent="0.25">
      <c r="O259" t="str">
        <f t="shared" si="168"/>
        <v>415</v>
      </c>
      <c r="P259">
        <v>4</v>
      </c>
      <c r="Q259" s="129">
        <v>15</v>
      </c>
      <c r="R259" s="62">
        <v>-715</v>
      </c>
      <c r="S259" s="63">
        <v>900</v>
      </c>
      <c r="T259" s="4"/>
    </row>
    <row r="260" spans="15:20" x14ac:dyDescent="0.25">
      <c r="O260" t="str">
        <f t="shared" si="168"/>
        <v>415a</v>
      </c>
      <c r="P260">
        <v>4</v>
      </c>
      <c r="Q260" s="129" t="s">
        <v>151</v>
      </c>
      <c r="R260" s="62">
        <v>-715</v>
      </c>
      <c r="S260" s="63">
        <v>900</v>
      </c>
      <c r="T260" s="4"/>
    </row>
    <row r="261" spans="15:20" x14ac:dyDescent="0.25">
      <c r="O261" t="str">
        <f t="shared" si="168"/>
        <v>416</v>
      </c>
      <c r="P261">
        <v>4</v>
      </c>
      <c r="Q261" s="129">
        <v>16</v>
      </c>
      <c r="R261" s="62">
        <v>-715</v>
      </c>
      <c r="S261" s="38">
        <v>900</v>
      </c>
      <c r="T261" s="4"/>
    </row>
    <row r="262" spans="15:20" x14ac:dyDescent="0.25">
      <c r="O262" t="str">
        <f t="shared" ref="O262:O325" si="172">P262&amp;Q262</f>
        <v>416a</v>
      </c>
      <c r="P262">
        <v>4</v>
      </c>
      <c r="Q262" s="129" t="s">
        <v>152</v>
      </c>
      <c r="R262" s="62">
        <v>-715</v>
      </c>
      <c r="S262" s="38">
        <v>900</v>
      </c>
      <c r="T262" s="4"/>
    </row>
    <row r="263" spans="15:20" x14ac:dyDescent="0.25">
      <c r="O263" t="str">
        <f t="shared" si="172"/>
        <v>416b</v>
      </c>
      <c r="P263">
        <v>4</v>
      </c>
      <c r="Q263" s="129" t="s">
        <v>153</v>
      </c>
      <c r="R263" s="62">
        <v>-715</v>
      </c>
      <c r="S263" s="63">
        <v>900</v>
      </c>
      <c r="T263" s="4"/>
    </row>
    <row r="264" spans="15:20" x14ac:dyDescent="0.25">
      <c r="O264" t="str">
        <f t="shared" si="172"/>
        <v>416c</v>
      </c>
      <c r="P264">
        <v>4</v>
      </c>
      <c r="Q264" s="115" t="s">
        <v>184</v>
      </c>
      <c r="R264" s="62">
        <v>-715</v>
      </c>
      <c r="S264" s="63">
        <v>900</v>
      </c>
      <c r="T264" s="4"/>
    </row>
    <row r="265" spans="15:20" x14ac:dyDescent="0.25">
      <c r="O265" t="str">
        <f t="shared" si="172"/>
        <v>416d</v>
      </c>
      <c r="P265">
        <v>4</v>
      </c>
      <c r="Q265" s="115" t="s">
        <v>185</v>
      </c>
      <c r="R265" s="62">
        <v>-715</v>
      </c>
      <c r="S265" s="63">
        <v>900</v>
      </c>
      <c r="T265" s="4"/>
    </row>
    <row r="266" spans="15:20" x14ac:dyDescent="0.25">
      <c r="O266" t="str">
        <f t="shared" si="172"/>
        <v>416e</v>
      </c>
      <c r="P266">
        <v>4</v>
      </c>
      <c r="Q266" s="115" t="s">
        <v>186</v>
      </c>
      <c r="R266" s="62">
        <v>-715</v>
      </c>
      <c r="S266" s="63">
        <v>900</v>
      </c>
      <c r="T266" s="4"/>
    </row>
    <row r="267" spans="15:20" x14ac:dyDescent="0.25">
      <c r="O267" t="str">
        <f t="shared" si="172"/>
        <v>416f</v>
      </c>
      <c r="P267">
        <v>4</v>
      </c>
      <c r="Q267" s="115" t="s">
        <v>187</v>
      </c>
      <c r="R267" s="62">
        <v>-715</v>
      </c>
      <c r="S267" s="121" t="e">
        <f>S275</f>
        <v>#VALUE!</v>
      </c>
      <c r="T267" s="4"/>
    </row>
    <row r="268" spans="15:20" x14ac:dyDescent="0.25">
      <c r="O268" t="str">
        <f t="shared" si="172"/>
        <v>417</v>
      </c>
      <c r="P268">
        <v>4</v>
      </c>
      <c r="Q268" s="129">
        <v>17</v>
      </c>
      <c r="R268" s="62">
        <v>-715</v>
      </c>
      <c r="S268" s="123" t="e">
        <f>S276</f>
        <v>#VALUE!</v>
      </c>
      <c r="T268" s="4"/>
    </row>
    <row r="269" spans="15:20" x14ac:dyDescent="0.25">
      <c r="O269" t="str">
        <f t="shared" si="172"/>
        <v>417a</v>
      </c>
      <c r="P269">
        <v>4</v>
      </c>
      <c r="Q269" s="129" t="s">
        <v>154</v>
      </c>
      <c r="R269" s="62">
        <f>$R$235-90+15</f>
        <v>-365</v>
      </c>
      <c r="S269" s="123" t="e">
        <f t="shared" ref="S269:S274" si="173">$S$238+100</f>
        <v>#VALUE!</v>
      </c>
      <c r="T269" s="4"/>
    </row>
    <row r="270" spans="15:20" x14ac:dyDescent="0.25">
      <c r="O270" t="str">
        <f t="shared" si="172"/>
        <v>418</v>
      </c>
      <c r="P270">
        <v>4</v>
      </c>
      <c r="Q270" s="129">
        <v>18</v>
      </c>
      <c r="R270" s="62">
        <f>$R$235-90+15</f>
        <v>-365</v>
      </c>
      <c r="S270" s="123" t="e">
        <f t="shared" si="173"/>
        <v>#VALUE!</v>
      </c>
      <c r="T270" s="4"/>
    </row>
    <row r="271" spans="15:20" x14ac:dyDescent="0.25">
      <c r="O271" t="str">
        <f t="shared" si="172"/>
        <v>418a</v>
      </c>
      <c r="P271">
        <v>4</v>
      </c>
      <c r="Q271" s="129" t="s">
        <v>155</v>
      </c>
      <c r="R271" s="65">
        <v>0</v>
      </c>
      <c r="S271" s="123" t="e">
        <f t="shared" si="173"/>
        <v>#VALUE!</v>
      </c>
      <c r="T271" s="4"/>
    </row>
    <row r="272" spans="15:20" x14ac:dyDescent="0.25">
      <c r="O272" t="str">
        <f t="shared" si="172"/>
        <v>419</v>
      </c>
      <c r="P272">
        <v>4</v>
      </c>
      <c r="Q272" s="129">
        <v>19</v>
      </c>
      <c r="R272" s="62">
        <v>0</v>
      </c>
      <c r="S272" s="123" t="e">
        <f t="shared" si="173"/>
        <v>#VALUE!</v>
      </c>
      <c r="T272" s="4"/>
    </row>
    <row r="273" spans="15:20" x14ac:dyDescent="0.25">
      <c r="O273" t="str">
        <f t="shared" si="172"/>
        <v>419a</v>
      </c>
      <c r="P273">
        <v>4</v>
      </c>
      <c r="Q273" s="129" t="s">
        <v>156</v>
      </c>
      <c r="R273" s="65">
        <f>R239+90</f>
        <v>380</v>
      </c>
      <c r="S273" s="123" t="e">
        <f t="shared" si="173"/>
        <v>#VALUE!</v>
      </c>
      <c r="T273" s="4"/>
    </row>
    <row r="274" spans="15:20" x14ac:dyDescent="0.25">
      <c r="O274" t="str">
        <f t="shared" si="172"/>
        <v>420</v>
      </c>
      <c r="P274">
        <v>4</v>
      </c>
      <c r="Q274" s="129">
        <v>20</v>
      </c>
      <c r="R274" s="65">
        <f>R240+90</f>
        <v>380</v>
      </c>
      <c r="S274" s="123" t="e">
        <f t="shared" si="173"/>
        <v>#VALUE!</v>
      </c>
      <c r="T274" s="4"/>
    </row>
    <row r="275" spans="15:20" x14ac:dyDescent="0.25">
      <c r="O275" t="str">
        <f t="shared" si="172"/>
        <v>420a</v>
      </c>
      <c r="P275">
        <v>4</v>
      </c>
      <c r="Q275" s="129" t="s">
        <v>157</v>
      </c>
      <c r="R275" s="65">
        <v>715</v>
      </c>
      <c r="S275" s="123" t="e">
        <f>$S$241+50</f>
        <v>#VALUE!</v>
      </c>
      <c r="T275" s="4"/>
    </row>
    <row r="276" spans="15:20" x14ac:dyDescent="0.25">
      <c r="O276" t="str">
        <f t="shared" si="172"/>
        <v>421</v>
      </c>
      <c r="P276">
        <v>4</v>
      </c>
      <c r="Q276" s="129">
        <v>21</v>
      </c>
      <c r="R276" s="65">
        <v>715</v>
      </c>
      <c r="S276" s="123" t="e">
        <f>$S$241+50</f>
        <v>#VALUE!</v>
      </c>
      <c r="T276" s="4"/>
    </row>
    <row r="277" spans="15:20" x14ac:dyDescent="0.25">
      <c r="O277" t="str">
        <f t="shared" si="172"/>
        <v>421a</v>
      </c>
      <c r="P277">
        <v>4</v>
      </c>
      <c r="Q277" s="129" t="s">
        <v>158</v>
      </c>
      <c r="R277" s="65">
        <v>715</v>
      </c>
      <c r="S277" s="67">
        <f t="shared" ref="S277:S283" si="174">$S$285</f>
        <v>900</v>
      </c>
      <c r="T277" s="4"/>
    </row>
    <row r="278" spans="15:20" x14ac:dyDescent="0.25">
      <c r="O278" t="str">
        <f t="shared" si="172"/>
        <v>421b</v>
      </c>
      <c r="P278">
        <v>4</v>
      </c>
      <c r="Q278" s="129" t="s">
        <v>159</v>
      </c>
      <c r="R278" s="65">
        <v>715</v>
      </c>
      <c r="S278" s="67">
        <f t="shared" si="174"/>
        <v>900</v>
      </c>
      <c r="T278" s="4"/>
    </row>
    <row r="279" spans="15:20" x14ac:dyDescent="0.25">
      <c r="O279" t="str">
        <f t="shared" si="172"/>
        <v>421c</v>
      </c>
      <c r="P279">
        <v>4</v>
      </c>
      <c r="Q279" s="115" t="s">
        <v>188</v>
      </c>
      <c r="R279" s="65">
        <v>715</v>
      </c>
      <c r="S279" s="67">
        <f t="shared" si="174"/>
        <v>900</v>
      </c>
      <c r="T279" s="4"/>
    </row>
    <row r="280" spans="15:20" x14ac:dyDescent="0.25">
      <c r="O280" t="str">
        <f t="shared" si="172"/>
        <v>421d</v>
      </c>
      <c r="P280">
        <v>4</v>
      </c>
      <c r="Q280" s="115" t="s">
        <v>189</v>
      </c>
      <c r="R280" s="65">
        <v>715</v>
      </c>
      <c r="S280" s="67">
        <f t="shared" si="174"/>
        <v>900</v>
      </c>
      <c r="T280" s="4"/>
    </row>
    <row r="281" spans="15:20" x14ac:dyDescent="0.25">
      <c r="O281" t="str">
        <f t="shared" si="172"/>
        <v>421e</v>
      </c>
      <c r="P281">
        <v>4</v>
      </c>
      <c r="Q281" s="115" t="s">
        <v>190</v>
      </c>
      <c r="R281" s="65">
        <v>715</v>
      </c>
      <c r="S281" s="67">
        <f t="shared" si="174"/>
        <v>900</v>
      </c>
      <c r="T281" s="4"/>
    </row>
    <row r="282" spans="15:20" x14ac:dyDescent="0.25">
      <c r="O282" t="str">
        <f t="shared" si="172"/>
        <v>421f</v>
      </c>
      <c r="P282">
        <v>4</v>
      </c>
      <c r="Q282" s="115" t="s">
        <v>191</v>
      </c>
      <c r="R282" s="65">
        <v>715</v>
      </c>
      <c r="S282" s="67">
        <f t="shared" si="174"/>
        <v>900</v>
      </c>
      <c r="T282" s="4"/>
    </row>
    <row r="283" spans="15:20" x14ac:dyDescent="0.25">
      <c r="O283" t="str">
        <f t="shared" si="172"/>
        <v>422</v>
      </c>
      <c r="P283">
        <v>4</v>
      </c>
      <c r="Q283" s="129">
        <v>22</v>
      </c>
      <c r="R283" s="65">
        <v>715</v>
      </c>
      <c r="S283" s="67">
        <f t="shared" si="174"/>
        <v>900</v>
      </c>
      <c r="T283" s="4"/>
    </row>
    <row r="284" spans="15:20" x14ac:dyDescent="0.25">
      <c r="O284" t="str">
        <f t="shared" si="172"/>
        <v>422a</v>
      </c>
      <c r="P284">
        <v>4</v>
      </c>
      <c r="Q284" s="129" t="s">
        <v>160</v>
      </c>
      <c r="R284" s="65">
        <v>715</v>
      </c>
      <c r="S284" s="67">
        <f>$S$285</f>
        <v>900</v>
      </c>
      <c r="T284" s="4"/>
    </row>
    <row r="285" spans="15:20" x14ac:dyDescent="0.25">
      <c r="O285" t="str">
        <f t="shared" si="172"/>
        <v>423</v>
      </c>
      <c r="P285">
        <v>4</v>
      </c>
      <c r="Q285" s="129">
        <v>23</v>
      </c>
      <c r="R285" s="65">
        <v>715</v>
      </c>
      <c r="S285" s="38">
        <f>$S$251</f>
        <v>900</v>
      </c>
      <c r="T285" s="4"/>
    </row>
    <row r="286" spans="15:20" x14ac:dyDescent="0.25">
      <c r="O286" t="str">
        <f t="shared" si="172"/>
        <v>423a</v>
      </c>
      <c r="P286">
        <v>4</v>
      </c>
      <c r="Q286" s="129" t="s">
        <v>161</v>
      </c>
      <c r="R286" s="65">
        <f>$R$252+90</f>
        <v>715</v>
      </c>
      <c r="S286" s="67">
        <v>0</v>
      </c>
      <c r="T286" s="4"/>
    </row>
    <row r="287" spans="15:20" x14ac:dyDescent="0.25">
      <c r="O287" t="str">
        <f t="shared" si="172"/>
        <v>424</v>
      </c>
      <c r="P287">
        <v>4</v>
      </c>
      <c r="Q287" s="129">
        <v>24</v>
      </c>
      <c r="R287" s="65">
        <f>$R$252+90</f>
        <v>715</v>
      </c>
      <c r="S287" s="38">
        <v>0</v>
      </c>
      <c r="T287" s="4"/>
    </row>
    <row r="288" spans="15:20" x14ac:dyDescent="0.25">
      <c r="O288" t="str">
        <f t="shared" si="172"/>
        <v>424a</v>
      </c>
      <c r="P288">
        <v>4</v>
      </c>
      <c r="Q288" s="129" t="s">
        <v>162</v>
      </c>
      <c r="R288" s="65">
        <v>0</v>
      </c>
      <c r="S288" s="67">
        <v>0</v>
      </c>
      <c r="T288" s="4"/>
    </row>
    <row r="289" spans="13:20" x14ac:dyDescent="0.25">
      <c r="O289" t="str">
        <f t="shared" si="172"/>
        <v>425</v>
      </c>
      <c r="P289">
        <v>4</v>
      </c>
      <c r="Q289" s="129">
        <v>25</v>
      </c>
      <c r="R289" s="118">
        <v>-290</v>
      </c>
      <c r="S289" s="124" t="e">
        <f>$S$273</f>
        <v>#VALUE!</v>
      </c>
      <c r="T289" s="4" t="s">
        <v>165</v>
      </c>
    </row>
    <row r="290" spans="13:20" x14ac:dyDescent="0.25">
      <c r="O290" t="str">
        <f t="shared" si="172"/>
        <v>425a</v>
      </c>
      <c r="P290">
        <v>4</v>
      </c>
      <c r="Q290" s="129" t="s">
        <v>166</v>
      </c>
      <c r="R290" s="118">
        <v>-290</v>
      </c>
      <c r="S290" s="124" t="e">
        <f>$S$237</f>
        <v>#VALUE!</v>
      </c>
      <c r="T290" s="4"/>
    </row>
    <row r="291" spans="13:20" x14ac:dyDescent="0.25">
      <c r="O291" t="str">
        <f t="shared" si="172"/>
        <v>426</v>
      </c>
      <c r="P291">
        <v>4</v>
      </c>
      <c r="Q291" s="129">
        <v>26</v>
      </c>
      <c r="R291" s="119">
        <v>290</v>
      </c>
      <c r="S291" s="125" t="e">
        <f>$S$273</f>
        <v>#VALUE!</v>
      </c>
      <c r="T291" s="4"/>
    </row>
    <row r="292" spans="13:20" ht="15.75" thickBot="1" x14ac:dyDescent="0.3">
      <c r="O292" t="str">
        <f t="shared" si="172"/>
        <v>426a</v>
      </c>
      <c r="P292">
        <v>4</v>
      </c>
      <c r="Q292" s="130" t="s">
        <v>167</v>
      </c>
      <c r="R292" s="145">
        <v>290</v>
      </c>
      <c r="S292" s="132" t="e">
        <f>$S$237</f>
        <v>#VALUE!</v>
      </c>
      <c r="T292" s="6"/>
    </row>
    <row r="293" spans="13:20" x14ac:dyDescent="0.25">
      <c r="M293" s="137"/>
      <c r="N293" s="137" t="s">
        <v>280</v>
      </c>
      <c r="O293" t="str">
        <f t="shared" si="172"/>
        <v>51</v>
      </c>
      <c r="P293" s="137">
        <v>5</v>
      </c>
      <c r="Q293" s="141">
        <v>1</v>
      </c>
      <c r="R293" s="142">
        <v>0</v>
      </c>
      <c r="S293" s="143">
        <v>90</v>
      </c>
      <c r="T293" s="2" t="s">
        <v>163</v>
      </c>
    </row>
    <row r="294" spans="13:20" x14ac:dyDescent="0.25">
      <c r="N294" s="120" t="e">
        <f>(Schachtselector!$C$153)+Schachtselector!C180</f>
        <v>#VALUE!</v>
      </c>
      <c r="O294" t="str">
        <f t="shared" si="172"/>
        <v>51a</v>
      </c>
      <c r="P294">
        <v>5</v>
      </c>
      <c r="Q294" s="129" t="s">
        <v>135</v>
      </c>
      <c r="R294" s="65">
        <v>-275</v>
      </c>
      <c r="S294" s="67">
        <v>90</v>
      </c>
      <c r="T294" s="4"/>
    </row>
    <row r="295" spans="13:20" x14ac:dyDescent="0.25">
      <c r="O295" t="str">
        <f t="shared" si="172"/>
        <v>52</v>
      </c>
      <c r="P295">
        <v>5</v>
      </c>
      <c r="Q295" s="129">
        <v>2</v>
      </c>
      <c r="R295" s="60">
        <v>-275</v>
      </c>
      <c r="S295" s="38">
        <v>90</v>
      </c>
      <c r="T295" s="4"/>
    </row>
    <row r="296" spans="13:20" x14ac:dyDescent="0.25">
      <c r="O296" t="str">
        <f t="shared" si="172"/>
        <v>52a</v>
      </c>
      <c r="P296">
        <v>5</v>
      </c>
      <c r="Q296" s="129" t="s">
        <v>136</v>
      </c>
      <c r="R296" s="65">
        <v>-625</v>
      </c>
      <c r="S296" s="67">
        <v>900</v>
      </c>
      <c r="T296" s="4"/>
    </row>
    <row r="297" spans="13:20" x14ac:dyDescent="0.25">
      <c r="O297" t="str">
        <f t="shared" si="172"/>
        <v>53</v>
      </c>
      <c r="P297">
        <v>5</v>
      </c>
      <c r="Q297" s="129">
        <v>3</v>
      </c>
      <c r="R297" s="60">
        <v>-625</v>
      </c>
      <c r="S297" s="38">
        <v>900</v>
      </c>
      <c r="T297" s="4"/>
    </row>
    <row r="298" spans="13:20" x14ac:dyDescent="0.25">
      <c r="O298" t="str">
        <f t="shared" si="172"/>
        <v>53a</v>
      </c>
      <c r="P298">
        <v>5</v>
      </c>
      <c r="Q298" s="129" t="s">
        <v>137</v>
      </c>
      <c r="R298" s="62">
        <v>-625</v>
      </c>
      <c r="S298" s="67">
        <v>900</v>
      </c>
      <c r="T298" s="4"/>
    </row>
    <row r="299" spans="13:20" x14ac:dyDescent="0.25">
      <c r="O299" t="str">
        <f t="shared" si="172"/>
        <v>54</v>
      </c>
      <c r="P299">
        <v>5</v>
      </c>
      <c r="Q299" s="129">
        <v>4</v>
      </c>
      <c r="R299" s="60">
        <v>-625</v>
      </c>
      <c r="S299" s="38">
        <v>900</v>
      </c>
      <c r="T299" s="4"/>
    </row>
    <row r="300" spans="13:20" x14ac:dyDescent="0.25">
      <c r="O300" t="str">
        <f t="shared" si="172"/>
        <v>54a</v>
      </c>
      <c r="P300">
        <v>5</v>
      </c>
      <c r="Q300" s="129" t="s">
        <v>138</v>
      </c>
      <c r="R300" s="62">
        <v>-625</v>
      </c>
      <c r="S300" s="67">
        <v>900</v>
      </c>
      <c r="T300" s="4"/>
    </row>
    <row r="301" spans="13:20" x14ac:dyDescent="0.25">
      <c r="O301" t="str">
        <f t="shared" si="172"/>
        <v>54b</v>
      </c>
      <c r="P301">
        <v>5</v>
      </c>
      <c r="Q301" s="129" t="s">
        <v>147</v>
      </c>
      <c r="R301" s="62">
        <v>-625</v>
      </c>
      <c r="S301" s="38">
        <v>900</v>
      </c>
      <c r="T301" s="4"/>
    </row>
    <row r="302" spans="13:20" x14ac:dyDescent="0.25">
      <c r="O302" t="str">
        <f t="shared" si="172"/>
        <v>54c</v>
      </c>
      <c r="P302">
        <v>5</v>
      </c>
      <c r="Q302" s="129" t="s">
        <v>176</v>
      </c>
      <c r="R302" s="62">
        <v>-625</v>
      </c>
      <c r="S302" s="67">
        <v>900</v>
      </c>
      <c r="T302" s="4"/>
    </row>
    <row r="303" spans="13:20" x14ac:dyDescent="0.25">
      <c r="O303" t="str">
        <f t="shared" si="172"/>
        <v>54d</v>
      </c>
      <c r="P303">
        <v>5</v>
      </c>
      <c r="Q303" s="129" t="s">
        <v>177</v>
      </c>
      <c r="R303" s="62">
        <v>-625</v>
      </c>
      <c r="S303" s="38">
        <v>900</v>
      </c>
      <c r="T303" s="4"/>
    </row>
    <row r="304" spans="13:20" x14ac:dyDescent="0.25">
      <c r="O304" t="str">
        <f t="shared" si="172"/>
        <v>54e</v>
      </c>
      <c r="P304">
        <v>5</v>
      </c>
      <c r="Q304" s="129" t="s">
        <v>178</v>
      </c>
      <c r="R304" s="62">
        <v>-625</v>
      </c>
      <c r="S304" s="67">
        <v>900</v>
      </c>
      <c r="T304" s="4"/>
    </row>
    <row r="305" spans="15:20" x14ac:dyDescent="0.25">
      <c r="O305" t="str">
        <f t="shared" si="172"/>
        <v>54f</v>
      </c>
      <c r="P305">
        <v>5</v>
      </c>
      <c r="Q305" s="129" t="s">
        <v>179</v>
      </c>
      <c r="R305" s="62">
        <v>-625</v>
      </c>
      <c r="S305" s="38">
        <v>900</v>
      </c>
      <c r="T305" s="4"/>
    </row>
    <row r="306" spans="15:20" x14ac:dyDescent="0.25">
      <c r="O306" t="str">
        <f t="shared" si="172"/>
        <v>55</v>
      </c>
      <c r="P306">
        <v>5</v>
      </c>
      <c r="Q306" s="129">
        <v>5</v>
      </c>
      <c r="R306" s="62">
        <v>-625</v>
      </c>
      <c r="S306" s="67">
        <v>900</v>
      </c>
      <c r="T306" s="4"/>
    </row>
    <row r="307" spans="15:20" x14ac:dyDescent="0.25">
      <c r="O307" t="str">
        <f t="shared" si="172"/>
        <v>55a</v>
      </c>
      <c r="P307">
        <v>5</v>
      </c>
      <c r="Q307" s="129" t="s">
        <v>139</v>
      </c>
      <c r="R307" s="62">
        <v>-625</v>
      </c>
      <c r="S307" s="121" t="e">
        <f>S308</f>
        <v>#VALUE!</v>
      </c>
      <c r="T307" s="4"/>
    </row>
    <row r="308" spans="15:20" x14ac:dyDescent="0.25">
      <c r="O308" t="str">
        <f t="shared" si="172"/>
        <v>56</v>
      </c>
      <c r="P308">
        <v>5</v>
      </c>
      <c r="Q308" s="129">
        <v>6</v>
      </c>
      <c r="R308" s="62">
        <v>-625</v>
      </c>
      <c r="S308" s="122" t="e">
        <f>$N$294</f>
        <v>#VALUE!</v>
      </c>
      <c r="T308" s="4"/>
    </row>
    <row r="309" spans="15:20" x14ac:dyDescent="0.25">
      <c r="O309" t="str">
        <f t="shared" si="172"/>
        <v>56a</v>
      </c>
      <c r="P309">
        <v>5</v>
      </c>
      <c r="Q309" s="129" t="s">
        <v>140</v>
      </c>
      <c r="R309" s="65">
        <v>0</v>
      </c>
      <c r="S309" s="121" t="e">
        <f>$N$294</f>
        <v>#VALUE!</v>
      </c>
      <c r="T309" s="4"/>
    </row>
    <row r="310" spans="15:20" x14ac:dyDescent="0.25">
      <c r="O310" t="str">
        <f t="shared" si="172"/>
        <v>57</v>
      </c>
      <c r="P310">
        <v>5</v>
      </c>
      <c r="Q310" s="129">
        <v>7</v>
      </c>
      <c r="R310" s="60">
        <v>0</v>
      </c>
      <c r="S310" s="122" t="e">
        <f>$N$294</f>
        <v>#VALUE!</v>
      </c>
      <c r="T310" s="4"/>
    </row>
    <row r="311" spans="15:20" x14ac:dyDescent="0.25">
      <c r="O311" t="str">
        <f t="shared" si="172"/>
        <v>57a</v>
      </c>
      <c r="P311">
        <v>5</v>
      </c>
      <c r="Q311" s="129" t="s">
        <v>141</v>
      </c>
      <c r="R311" s="60">
        <v>625</v>
      </c>
      <c r="S311" s="121" t="e">
        <f>$N$294</f>
        <v>#VALUE!</v>
      </c>
      <c r="T311" s="4"/>
    </row>
    <row r="312" spans="15:20" x14ac:dyDescent="0.25">
      <c r="O312" t="str">
        <f t="shared" si="172"/>
        <v>58</v>
      </c>
      <c r="P312">
        <v>5</v>
      </c>
      <c r="Q312" s="129">
        <v>8</v>
      </c>
      <c r="R312" s="60">
        <v>625</v>
      </c>
      <c r="S312" s="122" t="e">
        <f>$N$294</f>
        <v>#VALUE!</v>
      </c>
      <c r="T312" s="4"/>
    </row>
    <row r="313" spans="15:20" x14ac:dyDescent="0.25">
      <c r="O313" t="str">
        <f t="shared" si="172"/>
        <v>58a</v>
      </c>
      <c r="P313">
        <v>5</v>
      </c>
      <c r="Q313" s="129" t="s">
        <v>142</v>
      </c>
      <c r="R313" s="60">
        <v>625</v>
      </c>
      <c r="S313" s="123" t="e">
        <f>S312-250</f>
        <v>#VALUE!</v>
      </c>
      <c r="T313" s="4"/>
    </row>
    <row r="314" spans="15:20" x14ac:dyDescent="0.25">
      <c r="O314" t="str">
        <f t="shared" si="172"/>
        <v>59</v>
      </c>
      <c r="P314">
        <v>5</v>
      </c>
      <c r="Q314" s="129">
        <v>9</v>
      </c>
      <c r="R314" s="60">
        <v>625</v>
      </c>
      <c r="S314" s="121" t="e">
        <f>S313</f>
        <v>#VALUE!</v>
      </c>
      <c r="T314" s="4"/>
    </row>
    <row r="315" spans="15:20" x14ac:dyDescent="0.25">
      <c r="O315" t="str">
        <f t="shared" si="172"/>
        <v>59a</v>
      </c>
      <c r="P315">
        <v>5</v>
      </c>
      <c r="Q315" s="129" t="s">
        <v>143</v>
      </c>
      <c r="R315" s="60">
        <v>625</v>
      </c>
      <c r="S315" s="67">
        <v>950</v>
      </c>
      <c r="T315" s="4"/>
    </row>
    <row r="316" spans="15:20" x14ac:dyDescent="0.25">
      <c r="O316" t="str">
        <f t="shared" si="172"/>
        <v>59b</v>
      </c>
      <c r="P316">
        <v>5</v>
      </c>
      <c r="Q316" s="129" t="s">
        <v>148</v>
      </c>
      <c r="R316" s="60">
        <v>625</v>
      </c>
      <c r="S316" s="67">
        <v>950</v>
      </c>
      <c r="T316" s="4"/>
    </row>
    <row r="317" spans="15:20" x14ac:dyDescent="0.25">
      <c r="O317" t="str">
        <f t="shared" si="172"/>
        <v>59c</v>
      </c>
      <c r="P317">
        <v>5</v>
      </c>
      <c r="Q317" s="129" t="s">
        <v>180</v>
      </c>
      <c r="R317" s="60">
        <v>625</v>
      </c>
      <c r="S317" s="67">
        <v>950</v>
      </c>
      <c r="T317" s="4"/>
    </row>
    <row r="318" spans="15:20" x14ac:dyDescent="0.25">
      <c r="O318" t="str">
        <f t="shared" si="172"/>
        <v>59d</v>
      </c>
      <c r="P318">
        <v>5</v>
      </c>
      <c r="Q318" s="129" t="s">
        <v>181</v>
      </c>
      <c r="R318" s="60">
        <v>625</v>
      </c>
      <c r="S318" s="67">
        <v>950</v>
      </c>
      <c r="T318" s="4"/>
    </row>
    <row r="319" spans="15:20" x14ac:dyDescent="0.25">
      <c r="O319" t="str">
        <f t="shared" si="172"/>
        <v>59e</v>
      </c>
      <c r="P319">
        <v>5</v>
      </c>
      <c r="Q319" s="129" t="s">
        <v>182</v>
      </c>
      <c r="R319" s="60">
        <v>625</v>
      </c>
      <c r="S319" s="67">
        <v>950</v>
      </c>
      <c r="T319" s="4"/>
    </row>
    <row r="320" spans="15:20" x14ac:dyDescent="0.25">
      <c r="O320" t="str">
        <f t="shared" si="172"/>
        <v>59f</v>
      </c>
      <c r="P320">
        <v>5</v>
      </c>
      <c r="Q320" s="129" t="s">
        <v>183</v>
      </c>
      <c r="R320" s="60">
        <v>625</v>
      </c>
      <c r="S320" s="67">
        <v>950</v>
      </c>
      <c r="T320" s="4"/>
    </row>
    <row r="321" spans="15:20" x14ac:dyDescent="0.25">
      <c r="O321" t="str">
        <f t="shared" si="172"/>
        <v>510</v>
      </c>
      <c r="P321">
        <v>5</v>
      </c>
      <c r="Q321" s="129">
        <v>10</v>
      </c>
      <c r="R321" s="60">
        <v>625</v>
      </c>
      <c r="S321" s="67">
        <v>950</v>
      </c>
      <c r="T321" s="4"/>
    </row>
    <row r="322" spans="15:20" x14ac:dyDescent="0.25">
      <c r="O322" t="str">
        <f t="shared" si="172"/>
        <v>510a</v>
      </c>
      <c r="P322">
        <v>5</v>
      </c>
      <c r="Q322" s="129" t="s">
        <v>144</v>
      </c>
      <c r="R322" s="60">
        <v>625</v>
      </c>
      <c r="S322" s="67">
        <v>950</v>
      </c>
      <c r="T322" s="4"/>
    </row>
    <row r="323" spans="15:20" x14ac:dyDescent="0.25">
      <c r="O323" t="str">
        <f t="shared" si="172"/>
        <v>511</v>
      </c>
      <c r="P323">
        <v>5</v>
      </c>
      <c r="Q323" s="129">
        <v>11</v>
      </c>
      <c r="R323" s="60">
        <v>625</v>
      </c>
      <c r="S323" s="67">
        <v>950</v>
      </c>
      <c r="T323" s="4"/>
    </row>
    <row r="324" spans="15:20" x14ac:dyDescent="0.25">
      <c r="O324" t="str">
        <f t="shared" si="172"/>
        <v>511a</v>
      </c>
      <c r="P324">
        <v>5</v>
      </c>
      <c r="Q324" s="129" t="s">
        <v>145</v>
      </c>
      <c r="R324" s="60">
        <v>625</v>
      </c>
      <c r="S324" s="67">
        <v>90</v>
      </c>
      <c r="T324" s="4"/>
    </row>
    <row r="325" spans="15:20" x14ac:dyDescent="0.25">
      <c r="O325" t="str">
        <f t="shared" si="172"/>
        <v>512</v>
      </c>
      <c r="P325">
        <v>5</v>
      </c>
      <c r="Q325" s="129">
        <v>12</v>
      </c>
      <c r="R325" s="60">
        <v>625</v>
      </c>
      <c r="S325" s="38">
        <v>90</v>
      </c>
      <c r="T325" s="4"/>
    </row>
    <row r="326" spans="15:20" ht="15.75" thickBot="1" x14ac:dyDescent="0.3">
      <c r="O326" t="str">
        <f t="shared" ref="O326:O389" si="175">P326&amp;Q326</f>
        <v>512a</v>
      </c>
      <c r="P326">
        <v>5</v>
      </c>
      <c r="Q326" s="129" t="s">
        <v>146</v>
      </c>
      <c r="R326" s="116">
        <v>0</v>
      </c>
      <c r="S326" s="117">
        <v>90</v>
      </c>
      <c r="T326" s="4"/>
    </row>
    <row r="327" spans="15:20" x14ac:dyDescent="0.25">
      <c r="O327" t="str">
        <f t="shared" si="175"/>
        <v>513</v>
      </c>
      <c r="P327">
        <v>5</v>
      </c>
      <c r="Q327" s="129">
        <v>13</v>
      </c>
      <c r="R327" s="62">
        <v>0</v>
      </c>
      <c r="S327" s="63">
        <v>0</v>
      </c>
      <c r="T327" s="4" t="s">
        <v>164</v>
      </c>
    </row>
    <row r="328" spans="15:20" x14ac:dyDescent="0.25">
      <c r="O328" t="str">
        <f t="shared" si="175"/>
        <v>513a</v>
      </c>
      <c r="P328">
        <v>5</v>
      </c>
      <c r="Q328" s="129" t="s">
        <v>149</v>
      </c>
      <c r="R328" s="62">
        <v>-365</v>
      </c>
      <c r="S328" s="63">
        <v>0</v>
      </c>
      <c r="T328" s="4"/>
    </row>
    <row r="329" spans="15:20" x14ac:dyDescent="0.25">
      <c r="O329" t="str">
        <f t="shared" si="175"/>
        <v>514</v>
      </c>
      <c r="P329">
        <v>5</v>
      </c>
      <c r="Q329" s="129">
        <v>14</v>
      </c>
      <c r="R329" s="62">
        <v>-365</v>
      </c>
      <c r="S329" s="38">
        <v>0</v>
      </c>
      <c r="T329" s="4"/>
    </row>
    <row r="330" spans="15:20" x14ac:dyDescent="0.25">
      <c r="O330" t="str">
        <f t="shared" si="175"/>
        <v>514a</v>
      </c>
      <c r="P330">
        <v>5</v>
      </c>
      <c r="Q330" s="129" t="s">
        <v>150</v>
      </c>
      <c r="R330" s="62">
        <v>-715</v>
      </c>
      <c r="S330" s="67">
        <v>900</v>
      </c>
      <c r="T330" s="4"/>
    </row>
    <row r="331" spans="15:20" x14ac:dyDescent="0.25">
      <c r="O331" t="str">
        <f t="shared" si="175"/>
        <v>515</v>
      </c>
      <c r="P331">
        <v>5</v>
      </c>
      <c r="Q331" s="129">
        <v>15</v>
      </c>
      <c r="R331" s="62">
        <v>-715</v>
      </c>
      <c r="S331" s="63">
        <v>900</v>
      </c>
      <c r="T331" s="4"/>
    </row>
    <row r="332" spans="15:20" x14ac:dyDescent="0.25">
      <c r="O332" t="str">
        <f t="shared" si="175"/>
        <v>515a</v>
      </c>
      <c r="P332">
        <v>5</v>
      </c>
      <c r="Q332" s="129" t="s">
        <v>151</v>
      </c>
      <c r="R332" s="62">
        <v>-715</v>
      </c>
      <c r="S332" s="63">
        <v>900</v>
      </c>
      <c r="T332" s="4"/>
    </row>
    <row r="333" spans="15:20" x14ac:dyDescent="0.25">
      <c r="O333" t="str">
        <f t="shared" si="175"/>
        <v>516</v>
      </c>
      <c r="P333">
        <v>5</v>
      </c>
      <c r="Q333" s="129">
        <v>16</v>
      </c>
      <c r="R333" s="62">
        <v>-715</v>
      </c>
      <c r="S333" s="63">
        <v>900</v>
      </c>
      <c r="T333" s="4"/>
    </row>
    <row r="334" spans="15:20" x14ac:dyDescent="0.25">
      <c r="O334" t="str">
        <f t="shared" si="175"/>
        <v>516a</v>
      </c>
      <c r="P334">
        <v>5</v>
      </c>
      <c r="Q334" s="129" t="s">
        <v>152</v>
      </c>
      <c r="R334" s="62">
        <v>-715</v>
      </c>
      <c r="S334" s="63">
        <v>900</v>
      </c>
      <c r="T334" s="4"/>
    </row>
    <row r="335" spans="15:20" x14ac:dyDescent="0.25">
      <c r="O335" t="str">
        <f t="shared" si="175"/>
        <v>516b</v>
      </c>
      <c r="P335">
        <v>5</v>
      </c>
      <c r="Q335" s="129" t="s">
        <v>153</v>
      </c>
      <c r="R335" s="62">
        <v>-715</v>
      </c>
      <c r="S335" s="63">
        <v>900</v>
      </c>
      <c r="T335" s="4"/>
    </row>
    <row r="336" spans="15:20" x14ac:dyDescent="0.25">
      <c r="O336" t="str">
        <f t="shared" si="175"/>
        <v>516c</v>
      </c>
      <c r="P336">
        <v>5</v>
      </c>
      <c r="Q336" s="129" t="s">
        <v>184</v>
      </c>
      <c r="R336" s="62">
        <v>-715</v>
      </c>
      <c r="S336" s="63">
        <v>900</v>
      </c>
      <c r="T336" s="4"/>
    </row>
    <row r="337" spans="15:20" x14ac:dyDescent="0.25">
      <c r="O337" t="str">
        <f t="shared" si="175"/>
        <v>516d</v>
      </c>
      <c r="P337">
        <v>5</v>
      </c>
      <c r="Q337" s="129" t="s">
        <v>185</v>
      </c>
      <c r="R337" s="62">
        <v>-715</v>
      </c>
      <c r="S337" s="63">
        <v>900</v>
      </c>
      <c r="T337" s="4"/>
    </row>
    <row r="338" spans="15:20" x14ac:dyDescent="0.25">
      <c r="O338" t="str">
        <f t="shared" si="175"/>
        <v>516e</v>
      </c>
      <c r="P338">
        <v>5</v>
      </c>
      <c r="Q338" s="129" t="s">
        <v>186</v>
      </c>
      <c r="R338" s="62">
        <v>-715</v>
      </c>
      <c r="S338" s="63">
        <v>900</v>
      </c>
      <c r="T338" s="4"/>
    </row>
    <row r="339" spans="15:20" x14ac:dyDescent="0.25">
      <c r="O339" t="str">
        <f t="shared" si="175"/>
        <v>516f</v>
      </c>
      <c r="P339">
        <v>5</v>
      </c>
      <c r="Q339" s="129" t="s">
        <v>187</v>
      </c>
      <c r="R339" s="62">
        <v>-715</v>
      </c>
      <c r="S339" s="121" t="e">
        <f>S347</f>
        <v>#VALUE!</v>
      </c>
      <c r="T339" s="4"/>
    </row>
    <row r="340" spans="15:20" x14ac:dyDescent="0.25">
      <c r="O340" t="str">
        <f t="shared" si="175"/>
        <v>517</v>
      </c>
      <c r="P340">
        <v>5</v>
      </c>
      <c r="Q340" s="129">
        <v>17</v>
      </c>
      <c r="R340" s="62">
        <v>-715</v>
      </c>
      <c r="S340" s="123" t="e">
        <f>S348</f>
        <v>#VALUE!</v>
      </c>
      <c r="T340" s="4"/>
    </row>
    <row r="341" spans="15:20" x14ac:dyDescent="0.25">
      <c r="O341" t="str">
        <f t="shared" si="175"/>
        <v>517a</v>
      </c>
      <c r="P341">
        <v>5</v>
      </c>
      <c r="Q341" s="129" t="s">
        <v>154</v>
      </c>
      <c r="R341" s="62">
        <v>-715</v>
      </c>
      <c r="S341" s="123" t="e">
        <f t="shared" ref="S341:S346" si="176">$N$294+100</f>
        <v>#VALUE!</v>
      </c>
      <c r="T341" s="4"/>
    </row>
    <row r="342" spans="15:20" x14ac:dyDescent="0.25">
      <c r="O342" t="str">
        <f t="shared" si="175"/>
        <v>518</v>
      </c>
      <c r="P342">
        <v>5</v>
      </c>
      <c r="Q342" s="129">
        <v>18</v>
      </c>
      <c r="R342" s="62">
        <v>-715</v>
      </c>
      <c r="S342" s="123" t="e">
        <f t="shared" si="176"/>
        <v>#VALUE!</v>
      </c>
      <c r="T342" s="4"/>
    </row>
    <row r="343" spans="15:20" x14ac:dyDescent="0.25">
      <c r="O343" t="str">
        <f t="shared" si="175"/>
        <v>518a</v>
      </c>
      <c r="P343">
        <v>5</v>
      </c>
      <c r="Q343" s="129" t="s">
        <v>155</v>
      </c>
      <c r="R343" s="65">
        <v>0</v>
      </c>
      <c r="S343" s="123" t="e">
        <f t="shared" si="176"/>
        <v>#VALUE!</v>
      </c>
      <c r="T343" s="4"/>
    </row>
    <row r="344" spans="15:20" x14ac:dyDescent="0.25">
      <c r="O344" t="str">
        <f t="shared" si="175"/>
        <v>519</v>
      </c>
      <c r="P344">
        <v>5</v>
      </c>
      <c r="Q344" s="129">
        <v>19</v>
      </c>
      <c r="R344" s="62">
        <v>0</v>
      </c>
      <c r="S344" s="123" t="e">
        <f t="shared" si="176"/>
        <v>#VALUE!</v>
      </c>
      <c r="T344" s="4"/>
    </row>
    <row r="345" spans="15:20" x14ac:dyDescent="0.25">
      <c r="O345" t="str">
        <f t="shared" si="175"/>
        <v>519a</v>
      </c>
      <c r="P345">
        <v>5</v>
      </c>
      <c r="Q345" s="129" t="s">
        <v>156</v>
      </c>
      <c r="R345" s="65">
        <v>715</v>
      </c>
      <c r="S345" s="123" t="e">
        <f t="shared" si="176"/>
        <v>#VALUE!</v>
      </c>
      <c r="T345" s="4"/>
    </row>
    <row r="346" spans="15:20" x14ac:dyDescent="0.25">
      <c r="O346" t="str">
        <f t="shared" si="175"/>
        <v>520</v>
      </c>
      <c r="P346">
        <v>5</v>
      </c>
      <c r="Q346" s="129">
        <v>20</v>
      </c>
      <c r="R346" s="65">
        <v>715</v>
      </c>
      <c r="S346" s="123" t="e">
        <f t="shared" si="176"/>
        <v>#VALUE!</v>
      </c>
      <c r="T346" s="4"/>
    </row>
    <row r="347" spans="15:20" x14ac:dyDescent="0.25">
      <c r="O347" t="str">
        <f t="shared" si="175"/>
        <v>520a</v>
      </c>
      <c r="P347">
        <v>5</v>
      </c>
      <c r="Q347" s="129" t="s">
        <v>157</v>
      </c>
      <c r="R347" s="65">
        <v>715</v>
      </c>
      <c r="S347" s="123" t="e">
        <f>S346-250</f>
        <v>#VALUE!</v>
      </c>
      <c r="T347" s="4"/>
    </row>
    <row r="348" spans="15:20" x14ac:dyDescent="0.25">
      <c r="O348" t="str">
        <f t="shared" si="175"/>
        <v>521</v>
      </c>
      <c r="P348">
        <v>5</v>
      </c>
      <c r="Q348" s="129">
        <v>21</v>
      </c>
      <c r="R348" s="65">
        <v>715</v>
      </c>
      <c r="S348" s="123" t="e">
        <f>S347</f>
        <v>#VALUE!</v>
      </c>
      <c r="T348" s="4"/>
    </row>
    <row r="349" spans="15:20" x14ac:dyDescent="0.25">
      <c r="O349" t="str">
        <f t="shared" si="175"/>
        <v>521a</v>
      </c>
      <c r="P349">
        <v>5</v>
      </c>
      <c r="Q349" s="129" t="s">
        <v>158</v>
      </c>
      <c r="R349" s="65">
        <v>715</v>
      </c>
      <c r="S349" s="67">
        <f t="shared" ref="S349:S355" si="177">$S$285</f>
        <v>900</v>
      </c>
      <c r="T349" s="4"/>
    </row>
    <row r="350" spans="15:20" x14ac:dyDescent="0.25">
      <c r="O350" t="str">
        <f t="shared" si="175"/>
        <v>521b</v>
      </c>
      <c r="P350">
        <v>5</v>
      </c>
      <c r="Q350" s="129" t="s">
        <v>159</v>
      </c>
      <c r="R350" s="65">
        <v>715</v>
      </c>
      <c r="S350" s="67">
        <f t="shared" si="177"/>
        <v>900</v>
      </c>
      <c r="T350" s="4"/>
    </row>
    <row r="351" spans="15:20" x14ac:dyDescent="0.25">
      <c r="O351" t="str">
        <f t="shared" si="175"/>
        <v>521c</v>
      </c>
      <c r="P351">
        <v>5</v>
      </c>
      <c r="Q351" s="129" t="s">
        <v>188</v>
      </c>
      <c r="R351" s="65">
        <v>715</v>
      </c>
      <c r="S351" s="67">
        <f t="shared" si="177"/>
        <v>900</v>
      </c>
      <c r="T351" s="4"/>
    </row>
    <row r="352" spans="15:20" x14ac:dyDescent="0.25">
      <c r="O352" t="str">
        <f t="shared" si="175"/>
        <v>521d</v>
      </c>
      <c r="P352">
        <v>5</v>
      </c>
      <c r="Q352" s="129" t="s">
        <v>189</v>
      </c>
      <c r="R352" s="65">
        <v>715</v>
      </c>
      <c r="S352" s="67">
        <f t="shared" si="177"/>
        <v>900</v>
      </c>
      <c r="T352" s="4"/>
    </row>
    <row r="353" spans="14:22" x14ac:dyDescent="0.25">
      <c r="O353" t="str">
        <f t="shared" si="175"/>
        <v>521e</v>
      </c>
      <c r="P353">
        <v>5</v>
      </c>
      <c r="Q353" s="129" t="s">
        <v>190</v>
      </c>
      <c r="R353" s="65">
        <v>715</v>
      </c>
      <c r="S353" s="67">
        <f t="shared" si="177"/>
        <v>900</v>
      </c>
      <c r="T353" s="4"/>
    </row>
    <row r="354" spans="14:22" x14ac:dyDescent="0.25">
      <c r="O354" t="str">
        <f t="shared" si="175"/>
        <v>521f</v>
      </c>
      <c r="P354">
        <v>5</v>
      </c>
      <c r="Q354" s="129" t="s">
        <v>191</v>
      </c>
      <c r="R354" s="65">
        <v>715</v>
      </c>
      <c r="S354" s="67">
        <f t="shared" si="177"/>
        <v>900</v>
      </c>
      <c r="T354" s="4"/>
    </row>
    <row r="355" spans="14:22" x14ac:dyDescent="0.25">
      <c r="O355" t="str">
        <f t="shared" si="175"/>
        <v>522</v>
      </c>
      <c r="P355">
        <v>5</v>
      </c>
      <c r="Q355" s="129">
        <v>22</v>
      </c>
      <c r="R355" s="65">
        <v>715</v>
      </c>
      <c r="S355" s="67">
        <f t="shared" si="177"/>
        <v>900</v>
      </c>
      <c r="T355" s="4"/>
    </row>
    <row r="356" spans="14:22" x14ac:dyDescent="0.25">
      <c r="O356" t="str">
        <f t="shared" si="175"/>
        <v>522a</v>
      </c>
      <c r="P356">
        <v>5</v>
      </c>
      <c r="Q356" s="129" t="s">
        <v>160</v>
      </c>
      <c r="R356" s="65">
        <v>715</v>
      </c>
      <c r="S356" s="67">
        <f>$S$285</f>
        <v>900</v>
      </c>
      <c r="T356" s="4"/>
    </row>
    <row r="357" spans="14:22" x14ac:dyDescent="0.25">
      <c r="O357" t="str">
        <f t="shared" si="175"/>
        <v>523</v>
      </c>
      <c r="P357">
        <v>5</v>
      </c>
      <c r="Q357" s="129">
        <v>23</v>
      </c>
      <c r="R357" s="65">
        <v>715</v>
      </c>
      <c r="S357" s="38">
        <f>$S$251</f>
        <v>900</v>
      </c>
      <c r="T357" s="4"/>
    </row>
    <row r="358" spans="14:22" x14ac:dyDescent="0.25">
      <c r="O358" t="str">
        <f t="shared" si="175"/>
        <v>523a</v>
      </c>
      <c r="P358">
        <v>5</v>
      </c>
      <c r="Q358" s="129" t="s">
        <v>161</v>
      </c>
      <c r="R358" s="65">
        <f>$R$252+90</f>
        <v>715</v>
      </c>
      <c r="S358" s="67">
        <v>0</v>
      </c>
      <c r="T358" s="4"/>
    </row>
    <row r="359" spans="14:22" x14ac:dyDescent="0.25">
      <c r="O359" t="str">
        <f t="shared" si="175"/>
        <v>524</v>
      </c>
      <c r="P359">
        <v>5</v>
      </c>
      <c r="Q359" s="129">
        <v>24</v>
      </c>
      <c r="R359" s="65">
        <f>$R$252+90</f>
        <v>715</v>
      </c>
      <c r="S359" s="38">
        <v>0</v>
      </c>
      <c r="T359" s="4"/>
    </row>
    <row r="360" spans="14:22" x14ac:dyDescent="0.25">
      <c r="O360" t="str">
        <f t="shared" si="175"/>
        <v>524a</v>
      </c>
      <c r="P360">
        <v>5</v>
      </c>
      <c r="Q360" s="129" t="s">
        <v>162</v>
      </c>
      <c r="R360" s="65">
        <v>0</v>
      </c>
      <c r="S360" s="67">
        <v>0</v>
      </c>
      <c r="T360" s="4"/>
      <c r="U360" t="s">
        <v>343</v>
      </c>
    </row>
    <row r="361" spans="14:22" x14ac:dyDescent="0.25">
      <c r="O361" t="str">
        <f t="shared" si="175"/>
        <v>525</v>
      </c>
      <c r="P361">
        <v>5</v>
      </c>
      <c r="Q361" s="129">
        <v>25</v>
      </c>
      <c r="R361" s="118" t="str">
        <f>U361</f>
        <v/>
      </c>
      <c r="S361" s="124" t="e">
        <f>$S$346</f>
        <v>#VALUE!</v>
      </c>
      <c r="T361" s="9" t="s">
        <v>165</v>
      </c>
      <c r="U361" s="60" t="str">
        <f>IF($BD$55=TRUE,-290,IF($BE$55=TRUE,-390,""))</f>
        <v/>
      </c>
      <c r="V361" s="38"/>
    </row>
    <row r="362" spans="14:22" x14ac:dyDescent="0.25">
      <c r="O362" t="str">
        <f t="shared" si="175"/>
        <v>525a</v>
      </c>
      <c r="P362">
        <v>5</v>
      </c>
      <c r="Q362" s="129" t="s">
        <v>166</v>
      </c>
      <c r="R362" s="118" t="str">
        <f t="shared" ref="R362:R364" si="178">U362</f>
        <v/>
      </c>
      <c r="S362" s="124" t="e">
        <f>$S$311</f>
        <v>#VALUE!</v>
      </c>
      <c r="T362" s="9"/>
      <c r="U362" s="62" t="str">
        <f>U361</f>
        <v/>
      </c>
      <c r="V362" s="63"/>
    </row>
    <row r="363" spans="14:22" x14ac:dyDescent="0.25">
      <c r="O363" t="str">
        <f t="shared" si="175"/>
        <v>526</v>
      </c>
      <c r="P363">
        <v>5</v>
      </c>
      <c r="Q363" s="129">
        <v>26</v>
      </c>
      <c r="R363" s="118" t="str">
        <f t="shared" si="178"/>
        <v/>
      </c>
      <c r="S363" s="125" t="e">
        <f>$S$346</f>
        <v>#VALUE!</v>
      </c>
      <c r="T363" s="9"/>
      <c r="U363" s="60" t="str">
        <f>IF($BD$55=TRUE,290,IF($BE$55=TRUE,390,""))</f>
        <v/>
      </c>
      <c r="V363" s="63"/>
    </row>
    <row r="364" spans="14:22" ht="15.75" thickBot="1" x14ac:dyDescent="0.3">
      <c r="O364" t="str">
        <f t="shared" si="175"/>
        <v>526a</v>
      </c>
      <c r="P364">
        <v>5</v>
      </c>
      <c r="Q364" s="129" t="s">
        <v>167</v>
      </c>
      <c r="R364" s="118" t="str">
        <f t="shared" si="178"/>
        <v/>
      </c>
      <c r="S364" s="132" t="e">
        <f>$S$311</f>
        <v>#VALUE!</v>
      </c>
      <c r="T364" s="10"/>
      <c r="U364" s="65" t="str">
        <f>U363</f>
        <v/>
      </c>
      <c r="V364" s="67"/>
    </row>
    <row r="365" spans="14:22" x14ac:dyDescent="0.25">
      <c r="N365" s="137" t="s">
        <v>281</v>
      </c>
      <c r="O365" t="str">
        <f t="shared" si="175"/>
        <v>61</v>
      </c>
      <c r="P365" s="137">
        <v>6</v>
      </c>
      <c r="Q365" s="141">
        <v>1</v>
      </c>
      <c r="R365" s="142">
        <v>0</v>
      </c>
      <c r="S365" s="143">
        <v>90</v>
      </c>
      <c r="T365" s="2" t="s">
        <v>163</v>
      </c>
    </row>
    <row r="366" spans="14:22" x14ac:dyDescent="0.25">
      <c r="N366" s="120" t="e">
        <f>(Schachtselector!$C$160)+Schachtselector!C180</f>
        <v>#VALUE!</v>
      </c>
      <c r="O366" t="str">
        <f t="shared" si="175"/>
        <v>61a</v>
      </c>
      <c r="P366">
        <v>6</v>
      </c>
      <c r="Q366" s="129" t="s">
        <v>135</v>
      </c>
      <c r="R366" s="65">
        <v>-625</v>
      </c>
      <c r="S366" s="67">
        <v>90</v>
      </c>
      <c r="T366" s="4"/>
    </row>
    <row r="367" spans="14:22" x14ac:dyDescent="0.25">
      <c r="O367" t="str">
        <f t="shared" si="175"/>
        <v>62</v>
      </c>
      <c r="P367">
        <v>6</v>
      </c>
      <c r="Q367" s="129">
        <v>2</v>
      </c>
      <c r="R367" s="60">
        <v>-625</v>
      </c>
      <c r="S367" s="38">
        <v>90</v>
      </c>
      <c r="T367" s="4"/>
    </row>
    <row r="368" spans="14:22" x14ac:dyDescent="0.25">
      <c r="O368" t="str">
        <f t="shared" si="175"/>
        <v>62a</v>
      </c>
      <c r="P368">
        <v>6</v>
      </c>
      <c r="Q368" s="129" t="s">
        <v>136</v>
      </c>
      <c r="R368" s="65">
        <v>-625</v>
      </c>
      <c r="S368" s="67">
        <v>400</v>
      </c>
      <c r="T368" s="4"/>
    </row>
    <row r="369" spans="15:20" x14ac:dyDescent="0.25">
      <c r="O369" t="str">
        <f t="shared" si="175"/>
        <v>63</v>
      </c>
      <c r="P369">
        <v>6</v>
      </c>
      <c r="Q369" s="129">
        <v>3</v>
      </c>
      <c r="R369" s="60">
        <v>-625</v>
      </c>
      <c r="S369" s="38">
        <f>S368</f>
        <v>400</v>
      </c>
      <c r="T369" s="4"/>
    </row>
    <row r="370" spans="15:20" x14ac:dyDescent="0.25">
      <c r="O370" t="str">
        <f t="shared" si="175"/>
        <v>63a</v>
      </c>
      <c r="P370">
        <v>6</v>
      </c>
      <c r="Q370" s="129" t="s">
        <v>137</v>
      </c>
      <c r="R370" s="62">
        <v>-625</v>
      </c>
      <c r="S370" s="38">
        <f t="shared" ref="S370:S378" si="179">S369</f>
        <v>400</v>
      </c>
      <c r="T370" s="4"/>
    </row>
    <row r="371" spans="15:20" x14ac:dyDescent="0.25">
      <c r="O371" t="str">
        <f t="shared" si="175"/>
        <v>64</v>
      </c>
      <c r="P371">
        <v>6</v>
      </c>
      <c r="Q371" s="129">
        <v>4</v>
      </c>
      <c r="R371" s="60">
        <v>-625</v>
      </c>
      <c r="S371" s="38">
        <f t="shared" si="179"/>
        <v>400</v>
      </c>
      <c r="T371" s="4"/>
    </row>
    <row r="372" spans="15:20" x14ac:dyDescent="0.25">
      <c r="O372" t="str">
        <f t="shared" si="175"/>
        <v>64a</v>
      </c>
      <c r="P372">
        <v>6</v>
      </c>
      <c r="Q372" s="129" t="s">
        <v>138</v>
      </c>
      <c r="R372" s="62">
        <v>-625</v>
      </c>
      <c r="S372" s="38">
        <f t="shared" si="179"/>
        <v>400</v>
      </c>
      <c r="T372" s="4"/>
    </row>
    <row r="373" spans="15:20" x14ac:dyDescent="0.25">
      <c r="O373" t="str">
        <f t="shared" si="175"/>
        <v>64b</v>
      </c>
      <c r="P373">
        <v>6</v>
      </c>
      <c r="Q373" s="129" t="s">
        <v>147</v>
      </c>
      <c r="R373" s="62">
        <v>-625</v>
      </c>
      <c r="S373" s="38">
        <f t="shared" si="179"/>
        <v>400</v>
      </c>
      <c r="T373" s="4"/>
    </row>
    <row r="374" spans="15:20" x14ac:dyDescent="0.25">
      <c r="O374" t="str">
        <f t="shared" si="175"/>
        <v>64c</v>
      </c>
      <c r="P374">
        <v>6</v>
      </c>
      <c r="Q374" s="129" t="s">
        <v>176</v>
      </c>
      <c r="R374" s="62">
        <v>-625</v>
      </c>
      <c r="S374" s="38">
        <f t="shared" si="179"/>
        <v>400</v>
      </c>
      <c r="T374" s="4"/>
    </row>
    <row r="375" spans="15:20" x14ac:dyDescent="0.25">
      <c r="O375" t="str">
        <f t="shared" si="175"/>
        <v>64d</v>
      </c>
      <c r="P375">
        <v>6</v>
      </c>
      <c r="Q375" s="129" t="s">
        <v>177</v>
      </c>
      <c r="R375" s="62">
        <v>-625</v>
      </c>
      <c r="S375" s="38">
        <f t="shared" si="179"/>
        <v>400</v>
      </c>
      <c r="T375" s="4"/>
    </row>
    <row r="376" spans="15:20" x14ac:dyDescent="0.25">
      <c r="O376" t="str">
        <f t="shared" si="175"/>
        <v>64e</v>
      </c>
      <c r="P376">
        <v>6</v>
      </c>
      <c r="Q376" s="129" t="s">
        <v>178</v>
      </c>
      <c r="R376" s="62">
        <v>-625</v>
      </c>
      <c r="S376" s="38">
        <f t="shared" si="179"/>
        <v>400</v>
      </c>
      <c r="T376" s="4"/>
    </row>
    <row r="377" spans="15:20" x14ac:dyDescent="0.25">
      <c r="O377" t="str">
        <f t="shared" si="175"/>
        <v>64f</v>
      </c>
      <c r="P377">
        <v>6</v>
      </c>
      <c r="Q377" s="129" t="s">
        <v>179</v>
      </c>
      <c r="R377" s="62">
        <v>-625</v>
      </c>
      <c r="S377" s="38">
        <f t="shared" si="179"/>
        <v>400</v>
      </c>
      <c r="T377" s="4"/>
    </row>
    <row r="378" spans="15:20" x14ac:dyDescent="0.25">
      <c r="O378" t="str">
        <f t="shared" si="175"/>
        <v>65</v>
      </c>
      <c r="P378">
        <v>6</v>
      </c>
      <c r="Q378" s="129">
        <v>5</v>
      </c>
      <c r="R378" s="62">
        <v>-625</v>
      </c>
      <c r="S378" s="38">
        <f t="shared" si="179"/>
        <v>400</v>
      </c>
      <c r="T378" s="4"/>
    </row>
    <row r="379" spans="15:20" x14ac:dyDescent="0.25">
      <c r="O379" t="str">
        <f t="shared" si="175"/>
        <v>65a</v>
      </c>
      <c r="P379">
        <v>6</v>
      </c>
      <c r="Q379" s="129" t="s">
        <v>139</v>
      </c>
      <c r="R379" s="62">
        <v>-625</v>
      </c>
      <c r="S379" s="121" t="e">
        <f>N366</f>
        <v>#VALUE!</v>
      </c>
      <c r="T379" s="4"/>
    </row>
    <row r="380" spans="15:20" x14ac:dyDescent="0.25">
      <c r="O380" t="str">
        <f t="shared" si="175"/>
        <v>66</v>
      </c>
      <c r="P380">
        <v>6</v>
      </c>
      <c r="Q380" s="129">
        <v>6</v>
      </c>
      <c r="R380" s="62">
        <v>-625</v>
      </c>
      <c r="S380" s="122" t="e">
        <f>$S$379</f>
        <v>#VALUE!</v>
      </c>
      <c r="T380" s="4"/>
    </row>
    <row r="381" spans="15:20" x14ac:dyDescent="0.25">
      <c r="O381" t="str">
        <f t="shared" si="175"/>
        <v>66a</v>
      </c>
      <c r="P381">
        <v>6</v>
      </c>
      <c r="Q381" s="129" t="s">
        <v>140</v>
      </c>
      <c r="R381" s="65">
        <v>0</v>
      </c>
      <c r="S381" s="121" t="e">
        <f>$S$379</f>
        <v>#VALUE!</v>
      </c>
      <c r="T381" s="4"/>
    </row>
    <row r="382" spans="15:20" x14ac:dyDescent="0.25">
      <c r="O382" t="str">
        <f t="shared" si="175"/>
        <v>67</v>
      </c>
      <c r="P382">
        <v>6</v>
      </c>
      <c r="Q382" s="129">
        <v>7</v>
      </c>
      <c r="R382" s="60">
        <v>0</v>
      </c>
      <c r="S382" s="122" t="e">
        <f>$S$379</f>
        <v>#VALUE!</v>
      </c>
      <c r="T382" s="4"/>
    </row>
    <row r="383" spans="15:20" x14ac:dyDescent="0.25">
      <c r="O383" t="str">
        <f t="shared" si="175"/>
        <v>67a</v>
      </c>
      <c r="P383">
        <v>6</v>
      </c>
      <c r="Q383" s="129" t="s">
        <v>141</v>
      </c>
      <c r="R383" s="60">
        <v>625</v>
      </c>
      <c r="S383" s="121" t="e">
        <f>$S$379</f>
        <v>#VALUE!</v>
      </c>
      <c r="T383" s="4"/>
    </row>
    <row r="384" spans="15:20" x14ac:dyDescent="0.25">
      <c r="O384" t="str">
        <f t="shared" si="175"/>
        <v>68</v>
      </c>
      <c r="P384">
        <v>6</v>
      </c>
      <c r="Q384" s="129">
        <v>8</v>
      </c>
      <c r="R384" s="60">
        <v>625</v>
      </c>
      <c r="S384" s="122" t="e">
        <f>$S$379</f>
        <v>#VALUE!</v>
      </c>
      <c r="T384" s="4"/>
    </row>
    <row r="385" spans="15:20" x14ac:dyDescent="0.25">
      <c r="O385" t="str">
        <f t="shared" si="175"/>
        <v>68a</v>
      </c>
      <c r="P385">
        <v>6</v>
      </c>
      <c r="Q385" s="129" t="s">
        <v>142</v>
      </c>
      <c r="R385" s="60">
        <v>625</v>
      </c>
      <c r="S385" s="123" t="e">
        <f>S384-500</f>
        <v>#VALUE!</v>
      </c>
      <c r="T385" s="4"/>
    </row>
    <row r="386" spans="15:20" x14ac:dyDescent="0.25">
      <c r="O386" t="str">
        <f t="shared" si="175"/>
        <v>69</v>
      </c>
      <c r="P386">
        <v>6</v>
      </c>
      <c r="Q386" s="129">
        <v>9</v>
      </c>
      <c r="R386" s="60">
        <v>625</v>
      </c>
      <c r="S386" s="121" t="e">
        <f>S385</f>
        <v>#VALUE!</v>
      </c>
      <c r="T386" s="4"/>
    </row>
    <row r="387" spans="15:20" x14ac:dyDescent="0.25">
      <c r="O387" t="str">
        <f t="shared" si="175"/>
        <v>69a</v>
      </c>
      <c r="P387">
        <v>6</v>
      </c>
      <c r="Q387" s="129" t="s">
        <v>143</v>
      </c>
      <c r="R387" s="60">
        <v>625</v>
      </c>
      <c r="S387" s="67">
        <v>1000</v>
      </c>
      <c r="T387" s="4"/>
    </row>
    <row r="388" spans="15:20" x14ac:dyDescent="0.25">
      <c r="O388" t="str">
        <f t="shared" si="175"/>
        <v>69b</v>
      </c>
      <c r="P388">
        <v>6</v>
      </c>
      <c r="Q388" s="129" t="s">
        <v>148</v>
      </c>
      <c r="R388" s="60">
        <v>625</v>
      </c>
      <c r="S388" s="67">
        <v>1000</v>
      </c>
      <c r="T388" s="4"/>
    </row>
    <row r="389" spans="15:20" x14ac:dyDescent="0.25">
      <c r="O389" t="str">
        <f t="shared" si="175"/>
        <v>69c</v>
      </c>
      <c r="P389">
        <v>6</v>
      </c>
      <c r="Q389" s="129" t="s">
        <v>180</v>
      </c>
      <c r="R389" s="60">
        <v>625</v>
      </c>
      <c r="S389" s="67">
        <v>1000</v>
      </c>
      <c r="T389" s="4"/>
    </row>
    <row r="390" spans="15:20" x14ac:dyDescent="0.25">
      <c r="O390" t="str">
        <f t="shared" ref="O390:O440" si="180">P390&amp;Q390</f>
        <v>69d</v>
      </c>
      <c r="P390">
        <v>6</v>
      </c>
      <c r="Q390" s="129" t="s">
        <v>181</v>
      </c>
      <c r="R390" s="60">
        <v>625</v>
      </c>
      <c r="S390" s="67">
        <v>1000</v>
      </c>
      <c r="T390" s="4"/>
    </row>
    <row r="391" spans="15:20" x14ac:dyDescent="0.25">
      <c r="O391" t="str">
        <f t="shared" si="180"/>
        <v>69e</v>
      </c>
      <c r="P391">
        <v>6</v>
      </c>
      <c r="Q391" s="129" t="s">
        <v>182</v>
      </c>
      <c r="R391" s="60">
        <v>625</v>
      </c>
      <c r="S391" s="67">
        <v>1000</v>
      </c>
      <c r="T391" s="4"/>
    </row>
    <row r="392" spans="15:20" x14ac:dyDescent="0.25">
      <c r="O392" t="str">
        <f t="shared" si="180"/>
        <v>69f</v>
      </c>
      <c r="P392">
        <v>6</v>
      </c>
      <c r="Q392" s="129" t="s">
        <v>183</v>
      </c>
      <c r="R392" s="60">
        <v>625</v>
      </c>
      <c r="S392" s="67">
        <v>1000</v>
      </c>
      <c r="T392" s="4"/>
    </row>
    <row r="393" spans="15:20" x14ac:dyDescent="0.25">
      <c r="O393" t="str">
        <f t="shared" si="180"/>
        <v>610</v>
      </c>
      <c r="P393">
        <v>6</v>
      </c>
      <c r="Q393" s="129">
        <v>10</v>
      </c>
      <c r="R393" s="60">
        <v>625</v>
      </c>
      <c r="S393" s="63">
        <v>1000</v>
      </c>
      <c r="T393" s="4"/>
    </row>
    <row r="394" spans="15:20" x14ac:dyDescent="0.25">
      <c r="O394" t="str">
        <f t="shared" si="180"/>
        <v>610a</v>
      </c>
      <c r="P394">
        <v>6</v>
      </c>
      <c r="Q394" s="129" t="s">
        <v>144</v>
      </c>
      <c r="R394" s="60">
        <v>625</v>
      </c>
      <c r="S394" s="67">
        <v>1000</v>
      </c>
      <c r="T394" s="4"/>
    </row>
    <row r="395" spans="15:20" x14ac:dyDescent="0.25">
      <c r="O395" t="str">
        <f t="shared" si="180"/>
        <v>611</v>
      </c>
      <c r="P395">
        <v>6</v>
      </c>
      <c r="Q395" s="129">
        <v>11</v>
      </c>
      <c r="R395" s="60">
        <v>625</v>
      </c>
      <c r="S395" s="38">
        <v>1000</v>
      </c>
      <c r="T395" s="4"/>
    </row>
    <row r="396" spans="15:20" x14ac:dyDescent="0.25">
      <c r="O396" t="str">
        <f t="shared" si="180"/>
        <v>611a</v>
      </c>
      <c r="P396">
        <v>6</v>
      </c>
      <c r="Q396" s="129" t="s">
        <v>145</v>
      </c>
      <c r="R396" s="60">
        <v>625</v>
      </c>
      <c r="S396" s="67">
        <v>90</v>
      </c>
      <c r="T396" s="4"/>
    </row>
    <row r="397" spans="15:20" x14ac:dyDescent="0.25">
      <c r="O397" t="str">
        <f t="shared" si="180"/>
        <v>612</v>
      </c>
      <c r="P397">
        <v>6</v>
      </c>
      <c r="Q397" s="129">
        <v>12</v>
      </c>
      <c r="R397" s="60">
        <v>625</v>
      </c>
      <c r="S397" s="38">
        <v>90</v>
      </c>
      <c r="T397" s="4"/>
    </row>
    <row r="398" spans="15:20" ht="15.75" thickBot="1" x14ac:dyDescent="0.3">
      <c r="O398" t="str">
        <f t="shared" si="180"/>
        <v>612a</v>
      </c>
      <c r="P398">
        <v>6</v>
      </c>
      <c r="Q398" s="129" t="s">
        <v>146</v>
      </c>
      <c r="R398" s="116">
        <v>0</v>
      </c>
      <c r="S398" s="117">
        <v>90</v>
      </c>
      <c r="T398" s="4"/>
    </row>
    <row r="399" spans="15:20" x14ac:dyDescent="0.25">
      <c r="O399" t="str">
        <f t="shared" si="180"/>
        <v>613</v>
      </c>
      <c r="P399">
        <v>6</v>
      </c>
      <c r="Q399" s="129">
        <v>13</v>
      </c>
      <c r="R399" s="62">
        <v>0</v>
      </c>
      <c r="S399" s="63">
        <v>0</v>
      </c>
      <c r="T399" s="4" t="s">
        <v>164</v>
      </c>
    </row>
    <row r="400" spans="15:20" x14ac:dyDescent="0.25">
      <c r="O400" t="str">
        <f t="shared" si="180"/>
        <v>613a</v>
      </c>
      <c r="P400">
        <v>6</v>
      </c>
      <c r="Q400" s="129" t="s">
        <v>149</v>
      </c>
      <c r="R400" s="62">
        <v>-715</v>
      </c>
      <c r="S400" s="63">
        <v>0</v>
      </c>
      <c r="T400" s="4"/>
    </row>
    <row r="401" spans="15:20" x14ac:dyDescent="0.25">
      <c r="O401" t="str">
        <f t="shared" si="180"/>
        <v>614</v>
      </c>
      <c r="P401">
        <v>6</v>
      </c>
      <c r="Q401" s="129">
        <v>14</v>
      </c>
      <c r="R401" s="62">
        <v>-715</v>
      </c>
      <c r="S401" s="38">
        <v>0</v>
      </c>
      <c r="T401" s="4"/>
    </row>
    <row r="402" spans="15:20" x14ac:dyDescent="0.25">
      <c r="O402" t="str">
        <f t="shared" si="180"/>
        <v>614a</v>
      </c>
      <c r="P402">
        <v>6</v>
      </c>
      <c r="Q402" s="129" t="s">
        <v>150</v>
      </c>
      <c r="R402" s="62">
        <v>-715</v>
      </c>
      <c r="S402" s="67">
        <v>400</v>
      </c>
      <c r="T402" s="4"/>
    </row>
    <row r="403" spans="15:20" x14ac:dyDescent="0.25">
      <c r="O403" t="str">
        <f t="shared" si="180"/>
        <v>615</v>
      </c>
      <c r="P403">
        <v>6</v>
      </c>
      <c r="Q403" s="129">
        <v>15</v>
      </c>
      <c r="R403" s="62">
        <v>-715</v>
      </c>
      <c r="S403" s="63">
        <f>S402</f>
        <v>400</v>
      </c>
      <c r="T403" s="4"/>
    </row>
    <row r="404" spans="15:20" x14ac:dyDescent="0.25">
      <c r="O404" t="str">
        <f t="shared" si="180"/>
        <v>615a</v>
      </c>
      <c r="P404">
        <v>6</v>
      </c>
      <c r="Q404" s="129" t="s">
        <v>151</v>
      </c>
      <c r="R404" s="62">
        <v>-715</v>
      </c>
      <c r="S404" s="67">
        <v>400</v>
      </c>
      <c r="T404" s="4"/>
    </row>
    <row r="405" spans="15:20" x14ac:dyDescent="0.25">
      <c r="O405" t="str">
        <f t="shared" si="180"/>
        <v>616</v>
      </c>
      <c r="P405">
        <v>6</v>
      </c>
      <c r="Q405" s="129">
        <v>16</v>
      </c>
      <c r="R405" s="62">
        <v>-715</v>
      </c>
      <c r="S405" s="63">
        <f>S404</f>
        <v>400</v>
      </c>
      <c r="T405" s="4"/>
    </row>
    <row r="406" spans="15:20" x14ac:dyDescent="0.25">
      <c r="O406" t="str">
        <f t="shared" si="180"/>
        <v>616a</v>
      </c>
      <c r="P406">
        <v>6</v>
      </c>
      <c r="Q406" s="129" t="s">
        <v>152</v>
      </c>
      <c r="R406" s="62">
        <v>-715</v>
      </c>
      <c r="S406" s="67">
        <v>400</v>
      </c>
      <c r="T406" s="4"/>
    </row>
    <row r="407" spans="15:20" x14ac:dyDescent="0.25">
      <c r="O407" t="str">
        <f t="shared" si="180"/>
        <v>616b</v>
      </c>
      <c r="P407">
        <v>6</v>
      </c>
      <c r="Q407" s="129" t="s">
        <v>153</v>
      </c>
      <c r="R407" s="62">
        <v>-715</v>
      </c>
      <c r="S407" s="63">
        <f>S406</f>
        <v>400</v>
      </c>
      <c r="T407" s="4"/>
    </row>
    <row r="408" spans="15:20" x14ac:dyDescent="0.25">
      <c r="O408" t="str">
        <f t="shared" si="180"/>
        <v>616c</v>
      </c>
      <c r="P408">
        <v>6</v>
      </c>
      <c r="Q408" s="129" t="s">
        <v>184</v>
      </c>
      <c r="R408" s="62">
        <v>-715</v>
      </c>
      <c r="S408" s="67">
        <v>400</v>
      </c>
      <c r="T408" s="4"/>
    </row>
    <row r="409" spans="15:20" x14ac:dyDescent="0.25">
      <c r="O409" t="str">
        <f t="shared" si="180"/>
        <v>616d</v>
      </c>
      <c r="P409">
        <v>6</v>
      </c>
      <c r="Q409" s="129" t="s">
        <v>185</v>
      </c>
      <c r="R409" s="62">
        <v>-715</v>
      </c>
      <c r="S409" s="67">
        <v>400</v>
      </c>
      <c r="T409" s="4"/>
    </row>
    <row r="410" spans="15:20" x14ac:dyDescent="0.25">
      <c r="O410" t="str">
        <f t="shared" si="180"/>
        <v>616e</v>
      </c>
      <c r="P410">
        <v>6</v>
      </c>
      <c r="Q410" s="129" t="s">
        <v>186</v>
      </c>
      <c r="R410" s="62">
        <v>-715</v>
      </c>
      <c r="S410" s="63">
        <f>S409</f>
        <v>400</v>
      </c>
      <c r="T410" s="4"/>
    </row>
    <row r="411" spans="15:20" x14ac:dyDescent="0.25">
      <c r="O411" t="str">
        <f t="shared" si="180"/>
        <v>616f</v>
      </c>
      <c r="P411">
        <v>6</v>
      </c>
      <c r="Q411" s="129" t="s">
        <v>187</v>
      </c>
      <c r="R411" s="62">
        <v>-715</v>
      </c>
      <c r="S411" s="121" t="e">
        <f>S419</f>
        <v>#VALUE!</v>
      </c>
      <c r="T411" s="4"/>
    </row>
    <row r="412" spans="15:20" x14ac:dyDescent="0.25">
      <c r="O412" t="str">
        <f t="shared" si="180"/>
        <v>617</v>
      </c>
      <c r="P412">
        <v>6</v>
      </c>
      <c r="Q412" s="129">
        <v>17</v>
      </c>
      <c r="R412" s="62">
        <v>-715</v>
      </c>
      <c r="S412" s="123" t="e">
        <f>S420</f>
        <v>#VALUE!</v>
      </c>
      <c r="T412" s="4"/>
    </row>
    <row r="413" spans="15:20" x14ac:dyDescent="0.25">
      <c r="O413" t="str">
        <f t="shared" si="180"/>
        <v>617a</v>
      </c>
      <c r="P413">
        <v>6</v>
      </c>
      <c r="Q413" s="129" t="s">
        <v>154</v>
      </c>
      <c r="R413" s="62">
        <v>-715</v>
      </c>
      <c r="S413" s="123" t="e">
        <f>N366+100</f>
        <v>#VALUE!</v>
      </c>
      <c r="T413" s="4"/>
    </row>
    <row r="414" spans="15:20" x14ac:dyDescent="0.25">
      <c r="O414" t="str">
        <f t="shared" si="180"/>
        <v>618</v>
      </c>
      <c r="P414">
        <v>6</v>
      </c>
      <c r="Q414" s="129">
        <v>18</v>
      </c>
      <c r="R414" s="62">
        <v>-715</v>
      </c>
      <c r="S414" s="123" t="e">
        <f>$S$413</f>
        <v>#VALUE!</v>
      </c>
      <c r="T414" s="4"/>
    </row>
    <row r="415" spans="15:20" x14ac:dyDescent="0.25">
      <c r="O415" t="str">
        <f t="shared" si="180"/>
        <v>618a</v>
      </c>
      <c r="P415">
        <v>6</v>
      </c>
      <c r="Q415" s="129" t="s">
        <v>155</v>
      </c>
      <c r="R415" s="65">
        <v>0</v>
      </c>
      <c r="S415" s="123" t="e">
        <f>$S$413</f>
        <v>#VALUE!</v>
      </c>
      <c r="T415" s="4"/>
    </row>
    <row r="416" spans="15:20" x14ac:dyDescent="0.25">
      <c r="O416" t="str">
        <f t="shared" si="180"/>
        <v>619</v>
      </c>
      <c r="P416">
        <v>6</v>
      </c>
      <c r="Q416" s="129">
        <v>19</v>
      </c>
      <c r="R416" s="62">
        <v>0</v>
      </c>
      <c r="S416" s="123" t="e">
        <f>$S$413</f>
        <v>#VALUE!</v>
      </c>
      <c r="T416" s="4"/>
    </row>
    <row r="417" spans="15:23" x14ac:dyDescent="0.25">
      <c r="O417" t="str">
        <f t="shared" si="180"/>
        <v>619a</v>
      </c>
      <c r="P417">
        <v>6</v>
      </c>
      <c r="Q417" s="129" t="s">
        <v>156</v>
      </c>
      <c r="R417" s="65">
        <v>715</v>
      </c>
      <c r="S417" s="123" t="e">
        <f>$S$413</f>
        <v>#VALUE!</v>
      </c>
      <c r="T417" s="4"/>
    </row>
    <row r="418" spans="15:23" x14ac:dyDescent="0.25">
      <c r="O418" t="str">
        <f t="shared" si="180"/>
        <v>620</v>
      </c>
      <c r="P418">
        <v>6</v>
      </c>
      <c r="Q418" s="129">
        <v>20</v>
      </c>
      <c r="R418" s="65">
        <v>715</v>
      </c>
      <c r="S418" s="123" t="e">
        <f>$S$413</f>
        <v>#VALUE!</v>
      </c>
      <c r="T418" s="4"/>
    </row>
    <row r="419" spans="15:23" x14ac:dyDescent="0.25">
      <c r="O419" t="str">
        <f t="shared" si="180"/>
        <v>620a</v>
      </c>
      <c r="P419">
        <v>6</v>
      </c>
      <c r="Q419" s="129" t="s">
        <v>157</v>
      </c>
      <c r="R419" s="65">
        <v>715</v>
      </c>
      <c r="S419" s="123" t="e">
        <f>$S$241</f>
        <v>#VALUE!</v>
      </c>
      <c r="T419" s="4"/>
    </row>
    <row r="420" spans="15:23" x14ac:dyDescent="0.25">
      <c r="O420" t="str">
        <f t="shared" si="180"/>
        <v>621</v>
      </c>
      <c r="P420">
        <v>6</v>
      </c>
      <c r="Q420" s="129">
        <v>21</v>
      </c>
      <c r="R420" s="65">
        <v>715</v>
      </c>
      <c r="S420" s="123" t="e">
        <f>$S$241</f>
        <v>#VALUE!</v>
      </c>
      <c r="T420" s="4"/>
    </row>
    <row r="421" spans="15:23" x14ac:dyDescent="0.25">
      <c r="O421" t="str">
        <f t="shared" si="180"/>
        <v>621a</v>
      </c>
      <c r="P421">
        <v>6</v>
      </c>
      <c r="Q421" s="129" t="s">
        <v>158</v>
      </c>
      <c r="R421" s="65">
        <v>715</v>
      </c>
      <c r="S421" s="67">
        <f t="shared" ref="S421:S427" si="181">$S$285</f>
        <v>900</v>
      </c>
      <c r="T421" s="4"/>
    </row>
    <row r="422" spans="15:23" x14ac:dyDescent="0.25">
      <c r="O422" t="str">
        <f t="shared" si="180"/>
        <v>621b</v>
      </c>
      <c r="P422">
        <v>6</v>
      </c>
      <c r="Q422" s="129" t="s">
        <v>159</v>
      </c>
      <c r="R422" s="65">
        <v>715</v>
      </c>
      <c r="S422" s="67">
        <f t="shared" si="181"/>
        <v>900</v>
      </c>
      <c r="T422" s="4"/>
    </row>
    <row r="423" spans="15:23" x14ac:dyDescent="0.25">
      <c r="O423" t="str">
        <f t="shared" si="180"/>
        <v>621c</v>
      </c>
      <c r="P423">
        <v>6</v>
      </c>
      <c r="Q423" s="129" t="s">
        <v>188</v>
      </c>
      <c r="R423" s="65">
        <v>715</v>
      </c>
      <c r="S423" s="67">
        <f t="shared" si="181"/>
        <v>900</v>
      </c>
      <c r="T423" s="4"/>
    </row>
    <row r="424" spans="15:23" x14ac:dyDescent="0.25">
      <c r="O424" t="str">
        <f t="shared" si="180"/>
        <v>621d</v>
      </c>
      <c r="P424">
        <v>6</v>
      </c>
      <c r="Q424" s="129" t="s">
        <v>189</v>
      </c>
      <c r="R424" s="65">
        <v>715</v>
      </c>
      <c r="S424" s="67">
        <f t="shared" si="181"/>
        <v>900</v>
      </c>
      <c r="T424" s="4"/>
    </row>
    <row r="425" spans="15:23" x14ac:dyDescent="0.25">
      <c r="O425" t="str">
        <f t="shared" si="180"/>
        <v>621e</v>
      </c>
      <c r="P425">
        <v>6</v>
      </c>
      <c r="Q425" s="129" t="s">
        <v>190</v>
      </c>
      <c r="R425" s="65">
        <v>715</v>
      </c>
      <c r="S425" s="67">
        <f t="shared" si="181"/>
        <v>900</v>
      </c>
      <c r="T425" s="4"/>
    </row>
    <row r="426" spans="15:23" x14ac:dyDescent="0.25">
      <c r="O426" t="str">
        <f t="shared" si="180"/>
        <v>621f</v>
      </c>
      <c r="P426">
        <v>6</v>
      </c>
      <c r="Q426" s="129" t="s">
        <v>191</v>
      </c>
      <c r="R426" s="65">
        <v>715</v>
      </c>
      <c r="S426" s="67">
        <f t="shared" si="181"/>
        <v>900</v>
      </c>
      <c r="T426" s="4"/>
    </row>
    <row r="427" spans="15:23" x14ac:dyDescent="0.25">
      <c r="O427" t="str">
        <f t="shared" si="180"/>
        <v>622</v>
      </c>
      <c r="P427">
        <v>6</v>
      </c>
      <c r="Q427" s="129">
        <v>22</v>
      </c>
      <c r="R427" s="65">
        <v>715</v>
      </c>
      <c r="S427" s="67">
        <f t="shared" si="181"/>
        <v>900</v>
      </c>
      <c r="T427" s="4"/>
    </row>
    <row r="428" spans="15:23" x14ac:dyDescent="0.25">
      <c r="O428" t="str">
        <f t="shared" si="180"/>
        <v>622a</v>
      </c>
      <c r="P428">
        <v>6</v>
      </c>
      <c r="Q428" s="129" t="s">
        <v>160</v>
      </c>
      <c r="R428" s="65">
        <v>715</v>
      </c>
      <c r="S428" s="67">
        <f>$S$285</f>
        <v>900</v>
      </c>
      <c r="T428" s="4"/>
    </row>
    <row r="429" spans="15:23" x14ac:dyDescent="0.25">
      <c r="O429" t="str">
        <f t="shared" si="180"/>
        <v>623</v>
      </c>
      <c r="P429">
        <v>6</v>
      </c>
      <c r="Q429" s="129">
        <v>23</v>
      </c>
      <c r="R429" s="65">
        <v>715</v>
      </c>
      <c r="S429" s="38">
        <f>$S$251</f>
        <v>900</v>
      </c>
      <c r="T429" s="4"/>
    </row>
    <row r="430" spans="15:23" x14ac:dyDescent="0.25">
      <c r="O430" t="str">
        <f t="shared" si="180"/>
        <v>623a</v>
      </c>
      <c r="P430">
        <v>6</v>
      </c>
      <c r="Q430" s="129" t="s">
        <v>161</v>
      </c>
      <c r="R430" s="65">
        <v>715</v>
      </c>
      <c r="S430" s="67">
        <v>0</v>
      </c>
      <c r="T430" s="4"/>
    </row>
    <row r="431" spans="15:23" x14ac:dyDescent="0.25">
      <c r="O431" t="str">
        <f t="shared" si="180"/>
        <v>624</v>
      </c>
      <c r="P431">
        <v>6</v>
      </c>
      <c r="Q431" s="129">
        <v>24</v>
      </c>
      <c r="R431" s="65">
        <v>715</v>
      </c>
      <c r="S431" s="38">
        <v>0</v>
      </c>
      <c r="T431" s="4"/>
    </row>
    <row r="432" spans="15:23" x14ac:dyDescent="0.25">
      <c r="O432" t="str">
        <f t="shared" si="180"/>
        <v>624a</v>
      </c>
      <c r="P432">
        <v>6</v>
      </c>
      <c r="Q432" s="129" t="s">
        <v>162</v>
      </c>
      <c r="R432" s="65">
        <v>0</v>
      </c>
      <c r="S432" s="67">
        <v>0</v>
      </c>
      <c r="T432" s="4"/>
      <c r="U432" t="s">
        <v>200</v>
      </c>
      <c r="W432" t="s">
        <v>201</v>
      </c>
    </row>
    <row r="433" spans="14:24" x14ac:dyDescent="0.25">
      <c r="O433" t="str">
        <f t="shared" si="180"/>
        <v>625</v>
      </c>
      <c r="P433">
        <v>6</v>
      </c>
      <c r="Q433" s="129">
        <v>25</v>
      </c>
      <c r="R433" s="119" t="str">
        <f>IF($W$507=TRUE,W433,U433)</f>
        <v/>
      </c>
      <c r="S433" s="146" t="e">
        <f>IF($W$507=TRUE,X433,V433)</f>
        <v>#VALUE!</v>
      </c>
      <c r="T433" s="4" t="s">
        <v>165</v>
      </c>
      <c r="U433" s="60" t="str">
        <f>IF($BD$56=TRUE,-290,IF($BE$56=TRUE,-390,""))</f>
        <v/>
      </c>
      <c r="V433" s="122" t="e">
        <f>S414</f>
        <v>#VALUE!</v>
      </c>
      <c r="W433" s="60">
        <v>-615</v>
      </c>
      <c r="X433" s="122" t="e">
        <f>V433</f>
        <v>#VALUE!</v>
      </c>
    </row>
    <row r="434" spans="14:24" x14ac:dyDescent="0.25">
      <c r="O434" t="str">
        <f t="shared" si="180"/>
        <v>625a</v>
      </c>
      <c r="P434">
        <v>6</v>
      </c>
      <c r="Q434" s="129" t="s">
        <v>166</v>
      </c>
      <c r="R434" s="119" t="str">
        <f t="shared" ref="R434:R440" si="182">IF($W$507=TRUE,W434,U434)</f>
        <v/>
      </c>
      <c r="S434" s="146" t="e">
        <f t="shared" ref="S434:S439" si="183">IF($W$507=TRUE,X434,V434)</f>
        <v>#VALUE!</v>
      </c>
      <c r="T434" s="4"/>
      <c r="U434" s="62" t="str">
        <f>U433</f>
        <v/>
      </c>
      <c r="V434" s="123" t="e">
        <f>S381</f>
        <v>#VALUE!</v>
      </c>
      <c r="W434" s="60">
        <v>-615</v>
      </c>
      <c r="X434" s="123" t="e">
        <f>V434</f>
        <v>#VALUE!</v>
      </c>
    </row>
    <row r="435" spans="14:24" x14ac:dyDescent="0.25">
      <c r="O435" t="str">
        <f t="shared" si="180"/>
        <v>626</v>
      </c>
      <c r="P435">
        <v>6</v>
      </c>
      <c r="Q435" s="129">
        <v>26</v>
      </c>
      <c r="R435" s="119" t="str">
        <f t="shared" si="182"/>
        <v/>
      </c>
      <c r="S435" s="146" t="e">
        <f t="shared" si="183"/>
        <v>#VALUE!</v>
      </c>
      <c r="T435" s="4"/>
      <c r="U435" s="60" t="str">
        <f>IF($BD$56=TRUE,290,IF($BE$56=TRUE,390,""))</f>
        <v/>
      </c>
      <c r="V435" s="123" t="e">
        <f>S414</f>
        <v>#VALUE!</v>
      </c>
      <c r="W435" s="62">
        <v>-35</v>
      </c>
      <c r="X435" s="123" t="e">
        <f>V435</f>
        <v>#VALUE!</v>
      </c>
    </row>
    <row r="436" spans="14:24" x14ac:dyDescent="0.25">
      <c r="O436" t="str">
        <f t="shared" si="180"/>
        <v>626a</v>
      </c>
      <c r="P436">
        <v>6</v>
      </c>
      <c r="Q436" s="129" t="s">
        <v>167</v>
      </c>
      <c r="R436" s="119" t="str">
        <f t="shared" si="182"/>
        <v/>
      </c>
      <c r="S436" s="146" t="e">
        <f t="shared" si="183"/>
        <v>#VALUE!</v>
      </c>
      <c r="T436" s="4"/>
      <c r="U436" s="65" t="str">
        <f>U435</f>
        <v/>
      </c>
      <c r="V436" s="121" t="e">
        <f>V434</f>
        <v>#VALUE!</v>
      </c>
      <c r="W436" s="62">
        <v>-35</v>
      </c>
      <c r="X436" s="123" t="e">
        <f>V436</f>
        <v>#VALUE!</v>
      </c>
    </row>
    <row r="437" spans="14:24" x14ac:dyDescent="0.25">
      <c r="O437" t="str">
        <f t="shared" si="180"/>
        <v>627</v>
      </c>
      <c r="P437">
        <v>6</v>
      </c>
      <c r="Q437" s="115">
        <v>27</v>
      </c>
      <c r="R437" s="119">
        <f t="shared" si="182"/>
        <v>0</v>
      </c>
      <c r="S437" s="146">
        <f t="shared" si="183"/>
        <v>0</v>
      </c>
      <c r="T437" s="4"/>
      <c r="W437" s="62">
        <v>615</v>
      </c>
      <c r="X437" s="123" t="e">
        <f>V433</f>
        <v>#VALUE!</v>
      </c>
    </row>
    <row r="438" spans="14:24" x14ac:dyDescent="0.25">
      <c r="O438" t="str">
        <f t="shared" si="180"/>
        <v>627a</v>
      </c>
      <c r="P438">
        <v>6</v>
      </c>
      <c r="Q438" s="115" t="s">
        <v>202</v>
      </c>
      <c r="R438" s="119">
        <f t="shared" si="182"/>
        <v>0</v>
      </c>
      <c r="S438" s="146">
        <f t="shared" si="183"/>
        <v>0</v>
      </c>
      <c r="T438" s="4"/>
      <c r="W438" s="65">
        <v>615</v>
      </c>
      <c r="X438" s="123" t="e">
        <f>V434</f>
        <v>#VALUE!</v>
      </c>
    </row>
    <row r="439" spans="14:24" x14ac:dyDescent="0.25">
      <c r="O439" t="str">
        <f t="shared" si="180"/>
        <v>628</v>
      </c>
      <c r="P439">
        <v>6</v>
      </c>
      <c r="Q439" s="115">
        <v>28</v>
      </c>
      <c r="R439" s="119">
        <f t="shared" si="182"/>
        <v>0</v>
      </c>
      <c r="S439" s="146">
        <f t="shared" si="183"/>
        <v>0</v>
      </c>
      <c r="T439" s="4"/>
      <c r="W439" s="62">
        <v>35</v>
      </c>
      <c r="X439" s="123" t="e">
        <f>V435</f>
        <v>#VALUE!</v>
      </c>
    </row>
    <row r="440" spans="14:24" ht="15.75" thickBot="1" x14ac:dyDescent="0.3">
      <c r="O440" t="str">
        <f t="shared" si="180"/>
        <v>628a</v>
      </c>
      <c r="P440">
        <v>6</v>
      </c>
      <c r="Q440" s="115" t="s">
        <v>203</v>
      </c>
      <c r="R440" s="119">
        <f t="shared" si="182"/>
        <v>0</v>
      </c>
      <c r="S440" s="146">
        <f>IF($W$507=TRUE,X440,V440)</f>
        <v>0</v>
      </c>
      <c r="T440" s="4"/>
      <c r="W440" s="65">
        <v>35</v>
      </c>
      <c r="X440" s="121" t="e">
        <f>V436</f>
        <v>#VALUE!</v>
      </c>
    </row>
    <row r="441" spans="14:24" x14ac:dyDescent="0.25">
      <c r="N441" s="137" t="s">
        <v>282</v>
      </c>
      <c r="O441" s="137" t="str">
        <f t="shared" ref="O441:O457" si="184">P441&amp;Q441</f>
        <v>71</v>
      </c>
      <c r="P441" s="137">
        <v>7</v>
      </c>
      <c r="Q441" s="141">
        <v>1</v>
      </c>
      <c r="R441" s="142">
        <v>0</v>
      </c>
      <c r="S441" s="143">
        <v>70</v>
      </c>
    </row>
    <row r="442" spans="14:24" x14ac:dyDescent="0.25">
      <c r="N442" s="120" t="e">
        <f>(Schachtselector!C167)+Schachtselector!C180</f>
        <v>#VALUE!</v>
      </c>
      <c r="O442" t="str">
        <f t="shared" si="184"/>
        <v>71a</v>
      </c>
      <c r="P442">
        <v>7</v>
      </c>
      <c r="Q442" s="129" t="s">
        <v>135</v>
      </c>
      <c r="R442" s="60">
        <v>-600</v>
      </c>
      <c r="S442" s="67">
        <v>70</v>
      </c>
    </row>
    <row r="443" spans="14:24" x14ac:dyDescent="0.25">
      <c r="O443" t="str">
        <f t="shared" si="184"/>
        <v>72</v>
      </c>
      <c r="P443">
        <v>7</v>
      </c>
      <c r="Q443" s="129">
        <v>2</v>
      </c>
      <c r="R443" s="60">
        <v>-750</v>
      </c>
      <c r="S443" s="38">
        <v>368</v>
      </c>
    </row>
    <row r="444" spans="14:24" x14ac:dyDescent="0.25">
      <c r="O444" t="str">
        <f t="shared" si="184"/>
        <v>72a</v>
      </c>
      <c r="P444">
        <v>7</v>
      </c>
      <c r="Q444" s="129" t="s">
        <v>136</v>
      </c>
      <c r="R444" s="60">
        <v>-600</v>
      </c>
      <c r="S444" s="67">
        <v>70</v>
      </c>
    </row>
    <row r="445" spans="14:24" x14ac:dyDescent="0.25">
      <c r="O445" t="str">
        <f t="shared" si="184"/>
        <v>73</v>
      </c>
      <c r="P445">
        <v>7</v>
      </c>
      <c r="Q445" s="129">
        <v>3</v>
      </c>
      <c r="R445" s="65">
        <v>-750</v>
      </c>
      <c r="S445" s="38">
        <v>368</v>
      </c>
    </row>
    <row r="446" spans="14:24" x14ac:dyDescent="0.25">
      <c r="O446" t="str">
        <f t="shared" si="184"/>
        <v>73a</v>
      </c>
      <c r="P446">
        <v>7</v>
      </c>
      <c r="Q446" s="129" t="s">
        <v>137</v>
      </c>
      <c r="R446" s="65">
        <v>-750</v>
      </c>
      <c r="S446" s="63">
        <f>$S$8</f>
        <v>820</v>
      </c>
    </row>
    <row r="447" spans="14:24" x14ac:dyDescent="0.25">
      <c r="O447" t="str">
        <f t="shared" si="184"/>
        <v>74</v>
      </c>
      <c r="P447">
        <v>7</v>
      </c>
      <c r="Q447" s="129">
        <v>4</v>
      </c>
      <c r="R447" s="65">
        <v>-750</v>
      </c>
      <c r="S447" s="38">
        <f t="shared" ref="S447:S454" si="185">$S$8</f>
        <v>820</v>
      </c>
    </row>
    <row r="448" spans="14:24" x14ac:dyDescent="0.25">
      <c r="O448" t="str">
        <f t="shared" si="184"/>
        <v>74a</v>
      </c>
      <c r="P448">
        <v>7</v>
      </c>
      <c r="Q448" s="129" t="s">
        <v>138</v>
      </c>
      <c r="R448" s="65">
        <v>-750</v>
      </c>
      <c r="S448" s="38">
        <f t="shared" si="185"/>
        <v>820</v>
      </c>
    </row>
    <row r="449" spans="15:19" x14ac:dyDescent="0.25">
      <c r="O449" t="str">
        <f t="shared" si="184"/>
        <v>74b</v>
      </c>
      <c r="P449">
        <v>7</v>
      </c>
      <c r="Q449" s="129" t="s">
        <v>147</v>
      </c>
      <c r="R449" s="65">
        <v>-750</v>
      </c>
      <c r="S449" s="38">
        <f t="shared" si="185"/>
        <v>820</v>
      </c>
    </row>
    <row r="450" spans="15:19" x14ac:dyDescent="0.25">
      <c r="O450" t="str">
        <f t="shared" si="184"/>
        <v>74c</v>
      </c>
      <c r="P450">
        <v>7</v>
      </c>
      <c r="Q450" s="129" t="s">
        <v>176</v>
      </c>
      <c r="R450" s="65">
        <v>-750</v>
      </c>
      <c r="S450" s="38">
        <f t="shared" si="185"/>
        <v>820</v>
      </c>
    </row>
    <row r="451" spans="15:19" x14ac:dyDescent="0.25">
      <c r="O451" t="str">
        <f t="shared" si="184"/>
        <v>74d</v>
      </c>
      <c r="P451">
        <v>7</v>
      </c>
      <c r="Q451" s="129" t="s">
        <v>177</v>
      </c>
      <c r="R451" s="65">
        <v>-750</v>
      </c>
      <c r="S451" s="38">
        <f t="shared" si="185"/>
        <v>820</v>
      </c>
    </row>
    <row r="452" spans="15:19" x14ac:dyDescent="0.25">
      <c r="O452" t="str">
        <f t="shared" si="184"/>
        <v>74e</v>
      </c>
      <c r="P452">
        <v>7</v>
      </c>
      <c r="Q452" s="129" t="s">
        <v>178</v>
      </c>
      <c r="R452" s="65">
        <v>-750</v>
      </c>
      <c r="S452" s="38">
        <f t="shared" si="185"/>
        <v>820</v>
      </c>
    </row>
    <row r="453" spans="15:19" x14ac:dyDescent="0.25">
      <c r="O453" t="str">
        <f t="shared" si="184"/>
        <v>74f</v>
      </c>
      <c r="P453">
        <v>7</v>
      </c>
      <c r="Q453" s="129" t="s">
        <v>179</v>
      </c>
      <c r="R453" s="65">
        <v>-750</v>
      </c>
      <c r="S453" s="38">
        <f t="shared" si="185"/>
        <v>820</v>
      </c>
    </row>
    <row r="454" spans="15:19" x14ac:dyDescent="0.25">
      <c r="O454" t="str">
        <f t="shared" si="184"/>
        <v>75</v>
      </c>
      <c r="P454">
        <v>7</v>
      </c>
      <c r="Q454" s="129">
        <v>5</v>
      </c>
      <c r="R454" s="65">
        <v>-750</v>
      </c>
      <c r="S454" s="38">
        <f t="shared" si="185"/>
        <v>820</v>
      </c>
    </row>
    <row r="455" spans="15:19" x14ac:dyDescent="0.25">
      <c r="O455" t="str">
        <f t="shared" si="184"/>
        <v>75a</v>
      </c>
      <c r="P455">
        <v>7</v>
      </c>
      <c r="Q455" s="129" t="s">
        <v>139</v>
      </c>
      <c r="R455" s="65">
        <v>-750</v>
      </c>
      <c r="S455" s="121" t="e">
        <f>N442</f>
        <v>#VALUE!</v>
      </c>
    </row>
    <row r="456" spans="15:19" x14ac:dyDescent="0.25">
      <c r="O456" t="str">
        <f t="shared" si="184"/>
        <v>76</v>
      </c>
      <c r="P456">
        <v>7</v>
      </c>
      <c r="Q456" s="129">
        <v>6</v>
      </c>
      <c r="R456" s="65">
        <v>-750</v>
      </c>
      <c r="S456" s="122" t="e">
        <f>N442</f>
        <v>#VALUE!</v>
      </c>
    </row>
    <row r="457" spans="15:19" x14ac:dyDescent="0.25">
      <c r="O457" t="str">
        <f t="shared" si="184"/>
        <v>76a</v>
      </c>
      <c r="P457">
        <v>7</v>
      </c>
      <c r="Q457" s="129" t="s">
        <v>140</v>
      </c>
      <c r="R457" s="65">
        <v>0</v>
      </c>
      <c r="S457" s="121" t="e">
        <f>$S$456</f>
        <v>#VALUE!</v>
      </c>
    </row>
    <row r="458" spans="15:19" x14ac:dyDescent="0.25">
      <c r="O458" t="str">
        <f t="shared" ref="O458:O521" si="186">P458&amp;Q458</f>
        <v>77</v>
      </c>
      <c r="P458">
        <v>7</v>
      </c>
      <c r="Q458" s="129">
        <v>7</v>
      </c>
      <c r="R458" s="60">
        <v>0</v>
      </c>
      <c r="S458" s="122" t="e">
        <f>$S$456</f>
        <v>#VALUE!</v>
      </c>
    </row>
    <row r="459" spans="15:19" x14ac:dyDescent="0.25">
      <c r="O459" t="str">
        <f t="shared" si="186"/>
        <v>77a</v>
      </c>
      <c r="P459">
        <v>7</v>
      </c>
      <c r="Q459" s="129" t="s">
        <v>141</v>
      </c>
      <c r="R459" s="60">
        <v>750</v>
      </c>
      <c r="S459" s="121" t="e">
        <f>$S$456</f>
        <v>#VALUE!</v>
      </c>
    </row>
    <row r="460" spans="15:19" x14ac:dyDescent="0.25">
      <c r="O460" t="str">
        <f t="shared" si="186"/>
        <v>78</v>
      </c>
      <c r="P460">
        <v>7</v>
      </c>
      <c r="Q460" s="129">
        <v>8</v>
      </c>
      <c r="R460" s="60">
        <v>750</v>
      </c>
      <c r="S460" s="122" t="e">
        <f>$S$456</f>
        <v>#VALUE!</v>
      </c>
    </row>
    <row r="461" spans="15:19" x14ac:dyDescent="0.25">
      <c r="O461" t="str">
        <f t="shared" si="186"/>
        <v>78a</v>
      </c>
      <c r="P461">
        <v>7</v>
      </c>
      <c r="Q461" s="129" t="s">
        <v>142</v>
      </c>
      <c r="R461" s="60">
        <v>750</v>
      </c>
      <c r="S461" s="123" t="e">
        <f>S460-500</f>
        <v>#VALUE!</v>
      </c>
    </row>
    <row r="462" spans="15:19" x14ac:dyDescent="0.25">
      <c r="O462" t="str">
        <f t="shared" si="186"/>
        <v>79</v>
      </c>
      <c r="P462">
        <v>7</v>
      </c>
      <c r="Q462" s="129">
        <v>9</v>
      </c>
      <c r="R462" s="60">
        <v>750</v>
      </c>
      <c r="S462" s="121" t="e">
        <f>S461</f>
        <v>#VALUE!</v>
      </c>
    </row>
    <row r="463" spans="15:19" x14ac:dyDescent="0.25">
      <c r="O463" t="str">
        <f t="shared" si="186"/>
        <v>79a</v>
      </c>
      <c r="P463">
        <v>7</v>
      </c>
      <c r="Q463" s="129" t="s">
        <v>143</v>
      </c>
      <c r="R463" s="60">
        <v>750</v>
      </c>
      <c r="S463" s="38">
        <v>368</v>
      </c>
    </row>
    <row r="464" spans="15:19" x14ac:dyDescent="0.25">
      <c r="O464" t="str">
        <f t="shared" si="186"/>
        <v>79b</v>
      </c>
      <c r="P464">
        <v>7</v>
      </c>
      <c r="Q464" s="129" t="s">
        <v>148</v>
      </c>
      <c r="R464" s="60">
        <v>750</v>
      </c>
      <c r="S464" s="38">
        <v>368</v>
      </c>
    </row>
    <row r="465" spans="15:19" x14ac:dyDescent="0.25">
      <c r="O465" t="str">
        <f t="shared" si="186"/>
        <v>79c</v>
      </c>
      <c r="P465">
        <v>7</v>
      </c>
      <c r="Q465" s="129" t="s">
        <v>180</v>
      </c>
      <c r="R465" s="60">
        <v>750</v>
      </c>
      <c r="S465" s="38">
        <v>368</v>
      </c>
    </row>
    <row r="466" spans="15:19" x14ac:dyDescent="0.25">
      <c r="O466" t="str">
        <f t="shared" si="186"/>
        <v>79d</v>
      </c>
      <c r="P466">
        <v>7</v>
      </c>
      <c r="Q466" s="129" t="s">
        <v>181</v>
      </c>
      <c r="R466" s="60">
        <v>750</v>
      </c>
      <c r="S466" s="38">
        <v>368</v>
      </c>
    </row>
    <row r="467" spans="15:19" x14ac:dyDescent="0.25">
      <c r="O467" t="str">
        <f t="shared" si="186"/>
        <v>79e</v>
      </c>
      <c r="P467">
        <v>7</v>
      </c>
      <c r="Q467" s="129" t="s">
        <v>182</v>
      </c>
      <c r="R467" s="60">
        <v>750</v>
      </c>
      <c r="S467" s="38">
        <v>368</v>
      </c>
    </row>
    <row r="468" spans="15:19" x14ac:dyDescent="0.25">
      <c r="O468" t="str">
        <f t="shared" si="186"/>
        <v>79f</v>
      </c>
      <c r="P468">
        <v>7</v>
      </c>
      <c r="Q468" s="129" t="s">
        <v>183</v>
      </c>
      <c r="R468" s="60">
        <v>750</v>
      </c>
      <c r="S468" s="38">
        <v>368</v>
      </c>
    </row>
    <row r="469" spans="15:19" x14ac:dyDescent="0.25">
      <c r="O469" t="str">
        <f t="shared" si="186"/>
        <v>710</v>
      </c>
      <c r="P469">
        <v>7</v>
      </c>
      <c r="Q469" s="129">
        <v>10</v>
      </c>
      <c r="R469" s="60">
        <v>750</v>
      </c>
      <c r="S469" s="38">
        <v>368</v>
      </c>
    </row>
    <row r="470" spans="15:19" x14ac:dyDescent="0.25">
      <c r="O470" t="str">
        <f t="shared" si="186"/>
        <v>710a</v>
      </c>
      <c r="P470">
        <v>7</v>
      </c>
      <c r="Q470" s="129" t="s">
        <v>144</v>
      </c>
      <c r="R470" s="60">
        <v>750</v>
      </c>
      <c r="S470" s="38">
        <v>368</v>
      </c>
    </row>
    <row r="471" spans="15:19" x14ac:dyDescent="0.25">
      <c r="O471" t="str">
        <f t="shared" si="186"/>
        <v>711</v>
      </c>
      <c r="P471">
        <v>7</v>
      </c>
      <c r="Q471" s="129">
        <v>11</v>
      </c>
      <c r="R471" s="60">
        <v>750</v>
      </c>
      <c r="S471" s="38">
        <v>368</v>
      </c>
    </row>
    <row r="472" spans="15:19" x14ac:dyDescent="0.25">
      <c r="O472" t="str">
        <f t="shared" si="186"/>
        <v>711a</v>
      </c>
      <c r="P472">
        <v>7</v>
      </c>
      <c r="Q472" s="129" t="s">
        <v>145</v>
      </c>
      <c r="R472" s="60">
        <v>600</v>
      </c>
      <c r="S472" s="67">
        <v>70</v>
      </c>
    </row>
    <row r="473" spans="15:19" x14ac:dyDescent="0.25">
      <c r="O473" t="str">
        <f t="shared" si="186"/>
        <v>712</v>
      </c>
      <c r="P473">
        <v>7</v>
      </c>
      <c r="Q473" s="129">
        <v>12</v>
      </c>
      <c r="R473" s="60">
        <v>600</v>
      </c>
      <c r="S473" s="38">
        <v>70</v>
      </c>
    </row>
    <row r="474" spans="15:19" ht="15.75" thickBot="1" x14ac:dyDescent="0.3">
      <c r="O474" t="str">
        <f t="shared" si="186"/>
        <v>712a</v>
      </c>
      <c r="P474">
        <v>7</v>
      </c>
      <c r="Q474" s="129" t="s">
        <v>146</v>
      </c>
      <c r="R474" s="116">
        <v>0</v>
      </c>
      <c r="S474" s="117">
        <v>70</v>
      </c>
    </row>
    <row r="475" spans="15:19" x14ac:dyDescent="0.25">
      <c r="O475" t="str">
        <f t="shared" si="186"/>
        <v>713</v>
      </c>
      <c r="P475">
        <v>7</v>
      </c>
      <c r="Q475" s="129">
        <v>13</v>
      </c>
      <c r="R475" s="62">
        <v>0</v>
      </c>
      <c r="S475" s="63">
        <v>0</v>
      </c>
    </row>
    <row r="476" spans="15:19" x14ac:dyDescent="0.25">
      <c r="O476" t="str">
        <f t="shared" si="186"/>
        <v>713a</v>
      </c>
      <c r="P476">
        <v>7</v>
      </c>
      <c r="Q476" s="129" t="s">
        <v>149</v>
      </c>
      <c r="R476" s="65">
        <v>-615</v>
      </c>
      <c r="S476" s="63">
        <v>0</v>
      </c>
    </row>
    <row r="477" spans="15:19" x14ac:dyDescent="0.25">
      <c r="O477" t="str">
        <f t="shared" si="186"/>
        <v>714</v>
      </c>
      <c r="P477">
        <v>7</v>
      </c>
      <c r="Q477" s="129">
        <v>14</v>
      </c>
      <c r="R477" s="65">
        <v>-615</v>
      </c>
      <c r="S477" s="38">
        <v>0</v>
      </c>
    </row>
    <row r="478" spans="15:19" x14ac:dyDescent="0.25">
      <c r="O478" t="str">
        <f t="shared" si="186"/>
        <v>714a</v>
      </c>
      <c r="P478">
        <v>7</v>
      </c>
      <c r="Q478" s="129" t="s">
        <v>150</v>
      </c>
      <c r="R478" s="62">
        <v>-800</v>
      </c>
      <c r="S478" s="67">
        <v>368</v>
      </c>
    </row>
    <row r="479" spans="15:19" x14ac:dyDescent="0.25">
      <c r="O479" t="str">
        <f t="shared" si="186"/>
        <v>715</v>
      </c>
      <c r="P479">
        <v>7</v>
      </c>
      <c r="Q479" s="129">
        <v>15</v>
      </c>
      <c r="R479" s="62">
        <v>-800</v>
      </c>
      <c r="S479" s="67">
        <v>368</v>
      </c>
    </row>
    <row r="480" spans="15:19" x14ac:dyDescent="0.25">
      <c r="O480" t="str">
        <f t="shared" si="186"/>
        <v>715a</v>
      </c>
      <c r="P480">
        <v>7</v>
      </c>
      <c r="Q480" s="129" t="s">
        <v>151</v>
      </c>
      <c r="R480" s="62">
        <v>-800</v>
      </c>
      <c r="S480" s="67">
        <v>368</v>
      </c>
    </row>
    <row r="481" spans="15:24" x14ac:dyDescent="0.25">
      <c r="O481" t="str">
        <f t="shared" si="186"/>
        <v>716</v>
      </c>
      <c r="P481">
        <v>7</v>
      </c>
      <c r="Q481" s="129">
        <v>16</v>
      </c>
      <c r="R481" s="62">
        <v>-800</v>
      </c>
      <c r="S481" s="67">
        <v>368</v>
      </c>
    </row>
    <row r="482" spans="15:24" x14ac:dyDescent="0.25">
      <c r="O482" t="str">
        <f t="shared" si="186"/>
        <v>716a</v>
      </c>
      <c r="P482">
        <v>7</v>
      </c>
      <c r="Q482" s="129" t="s">
        <v>152</v>
      </c>
      <c r="R482" s="62">
        <v>-800</v>
      </c>
      <c r="S482" s="67">
        <v>368</v>
      </c>
    </row>
    <row r="483" spans="15:24" x14ac:dyDescent="0.25">
      <c r="O483" t="str">
        <f t="shared" si="186"/>
        <v>716b</v>
      </c>
      <c r="P483">
        <v>7</v>
      </c>
      <c r="Q483" s="129" t="s">
        <v>153</v>
      </c>
      <c r="R483" s="62">
        <v>-800</v>
      </c>
      <c r="S483" s="67">
        <v>368</v>
      </c>
    </row>
    <row r="484" spans="15:24" x14ac:dyDescent="0.25">
      <c r="O484" t="str">
        <f t="shared" si="186"/>
        <v>716c</v>
      </c>
      <c r="P484">
        <v>7</v>
      </c>
      <c r="Q484" s="129" t="s">
        <v>184</v>
      </c>
      <c r="R484" s="62">
        <v>-800</v>
      </c>
      <c r="S484" s="67">
        <v>368</v>
      </c>
    </row>
    <row r="485" spans="15:24" x14ac:dyDescent="0.25">
      <c r="O485" t="str">
        <f t="shared" si="186"/>
        <v>716d</v>
      </c>
      <c r="P485">
        <v>7</v>
      </c>
      <c r="Q485" s="129" t="s">
        <v>185</v>
      </c>
      <c r="R485" s="62">
        <v>-800</v>
      </c>
      <c r="S485" s="67">
        <v>368</v>
      </c>
    </row>
    <row r="486" spans="15:24" x14ac:dyDescent="0.25">
      <c r="O486" t="str">
        <f t="shared" si="186"/>
        <v>716e</v>
      </c>
      <c r="P486">
        <v>7</v>
      </c>
      <c r="Q486" s="129" t="s">
        <v>186</v>
      </c>
      <c r="R486" s="62">
        <v>-800</v>
      </c>
      <c r="S486" s="121" t="e">
        <f>N442+U493</f>
        <v>#VALUE!</v>
      </c>
    </row>
    <row r="487" spans="15:24" x14ac:dyDescent="0.25">
      <c r="O487" t="str">
        <f t="shared" si="186"/>
        <v>716f</v>
      </c>
      <c r="P487">
        <v>7</v>
      </c>
      <c r="Q487" s="129" t="s">
        <v>187</v>
      </c>
      <c r="R487" s="62">
        <v>-800</v>
      </c>
      <c r="S487" s="121" t="e">
        <f>S486</f>
        <v>#VALUE!</v>
      </c>
    </row>
    <row r="488" spans="15:24" x14ac:dyDescent="0.25">
      <c r="O488" t="str">
        <f t="shared" si="186"/>
        <v>717</v>
      </c>
      <c r="P488">
        <v>7</v>
      </c>
      <c r="Q488" s="129">
        <v>17</v>
      </c>
      <c r="R488" s="62">
        <v>-800</v>
      </c>
      <c r="S488" s="123" t="e">
        <f>S495</f>
        <v>#VALUE!</v>
      </c>
    </row>
    <row r="489" spans="15:24" x14ac:dyDescent="0.25">
      <c r="O489" t="str">
        <f t="shared" si="186"/>
        <v>717a</v>
      </c>
      <c r="P489">
        <v>7</v>
      </c>
      <c r="Q489" s="129" t="s">
        <v>154</v>
      </c>
      <c r="R489" s="62">
        <v>-800</v>
      </c>
      <c r="S489" s="123" t="e">
        <f>S488</f>
        <v>#VALUE!</v>
      </c>
    </row>
    <row r="490" spans="15:24" x14ac:dyDescent="0.25">
      <c r="O490" t="str">
        <f t="shared" si="186"/>
        <v>718</v>
      </c>
      <c r="P490">
        <v>7</v>
      </c>
      <c r="Q490" s="129">
        <v>18</v>
      </c>
      <c r="R490" s="62" t="e">
        <f>IF(X494=FALSE,U496,W495)</f>
        <v>#VALUE!</v>
      </c>
      <c r="S490" s="123" t="e">
        <f>S491</f>
        <v>#VALUE!</v>
      </c>
    </row>
    <row r="491" spans="15:24" x14ac:dyDescent="0.25">
      <c r="O491" t="str">
        <f t="shared" si="186"/>
        <v>718a</v>
      </c>
      <c r="P491">
        <v>7</v>
      </c>
      <c r="Q491" s="129" t="s">
        <v>155</v>
      </c>
      <c r="R491" s="65">
        <v>0</v>
      </c>
      <c r="S491" s="123" t="e">
        <f>$S$492</f>
        <v>#VALUE!</v>
      </c>
    </row>
    <row r="492" spans="15:24" x14ac:dyDescent="0.25">
      <c r="O492" t="str">
        <f t="shared" si="186"/>
        <v>719</v>
      </c>
      <c r="P492">
        <v>7</v>
      </c>
      <c r="Q492" s="129">
        <v>19</v>
      </c>
      <c r="R492" s="62">
        <v>0</v>
      </c>
      <c r="S492" s="123" t="e">
        <f>N442+300</f>
        <v>#VALUE!</v>
      </c>
      <c r="U492" t="s">
        <v>1915</v>
      </c>
      <c r="V492" t="s">
        <v>1918</v>
      </c>
    </row>
    <row r="493" spans="15:24" x14ac:dyDescent="0.25">
      <c r="O493" t="str">
        <f t="shared" si="186"/>
        <v>719a</v>
      </c>
      <c r="P493">
        <v>7</v>
      </c>
      <c r="Q493" s="129" t="s">
        <v>156</v>
      </c>
      <c r="R493" s="65" t="e">
        <f>IF(X494=FALSE,U497,W496)</f>
        <v>#VALUE!</v>
      </c>
      <c r="S493" s="123" t="e">
        <f>$S$490</f>
        <v>#VALUE!</v>
      </c>
      <c r="U493">
        <v>50</v>
      </c>
      <c r="V493">
        <v>35</v>
      </c>
    </row>
    <row r="494" spans="15:24" x14ac:dyDescent="0.25">
      <c r="O494" t="str">
        <f t="shared" si="186"/>
        <v>720</v>
      </c>
      <c r="P494">
        <v>7</v>
      </c>
      <c r="Q494" s="129">
        <v>20</v>
      </c>
      <c r="R494" s="65">
        <v>800</v>
      </c>
      <c r="S494" s="123" t="e">
        <f>S495</f>
        <v>#VALUE!</v>
      </c>
      <c r="U494" t="s">
        <v>1914</v>
      </c>
      <c r="W494" t="s">
        <v>1645</v>
      </c>
      <c r="X494" t="b">
        <f>Tabelle2!$Q$91</f>
        <v>0</v>
      </c>
    </row>
    <row r="495" spans="15:24" x14ac:dyDescent="0.25">
      <c r="O495" t="str">
        <f t="shared" si="186"/>
        <v>720a</v>
      </c>
      <c r="P495">
        <v>7</v>
      </c>
      <c r="Q495" s="129" t="s">
        <v>157</v>
      </c>
      <c r="R495" s="65">
        <v>800</v>
      </c>
      <c r="S495" s="123" t="e">
        <f>S496</f>
        <v>#VALUE!</v>
      </c>
      <c r="U495" t="s">
        <v>1913</v>
      </c>
      <c r="W495">
        <f>W510-U493</f>
        <v>-725</v>
      </c>
    </row>
    <row r="496" spans="15:24" x14ac:dyDescent="0.25">
      <c r="O496" t="str">
        <f t="shared" si="186"/>
        <v>721</v>
      </c>
      <c r="P496">
        <v>7</v>
      </c>
      <c r="Q496" s="129">
        <v>21</v>
      </c>
      <c r="R496" s="65">
        <v>800</v>
      </c>
      <c r="S496" s="123" t="e">
        <f>N442+U493</f>
        <v>#VALUE!</v>
      </c>
      <c r="U496" t="e">
        <f>U510-U493</f>
        <v>#VALUE!</v>
      </c>
      <c r="W496">
        <f>W514+U493</f>
        <v>725</v>
      </c>
    </row>
    <row r="497" spans="15:24" x14ac:dyDescent="0.25">
      <c r="O497" t="str">
        <f t="shared" si="186"/>
        <v>721a</v>
      </c>
      <c r="P497">
        <v>7</v>
      </c>
      <c r="Q497" s="129" t="s">
        <v>158</v>
      </c>
      <c r="R497" s="65">
        <v>800</v>
      </c>
      <c r="S497" s="38">
        <v>368</v>
      </c>
      <c r="U497" t="e">
        <f>U512+U493</f>
        <v>#VALUE!</v>
      </c>
      <c r="W497">
        <f>W512-U493</f>
        <v>-125</v>
      </c>
    </row>
    <row r="498" spans="15:24" x14ac:dyDescent="0.25">
      <c r="O498" t="str">
        <f t="shared" si="186"/>
        <v>721b</v>
      </c>
      <c r="P498">
        <v>7</v>
      </c>
      <c r="Q498" s="129" t="s">
        <v>159</v>
      </c>
      <c r="R498" s="65">
        <v>800</v>
      </c>
      <c r="S498" s="38">
        <v>368</v>
      </c>
      <c r="W498">
        <f>W516+U493</f>
        <v>125</v>
      </c>
    </row>
    <row r="499" spans="15:24" x14ac:dyDescent="0.25">
      <c r="O499" t="str">
        <f t="shared" si="186"/>
        <v>721c</v>
      </c>
      <c r="P499">
        <v>7</v>
      </c>
      <c r="Q499" s="129" t="s">
        <v>188</v>
      </c>
      <c r="R499" s="65">
        <v>800</v>
      </c>
      <c r="S499" s="38">
        <v>368</v>
      </c>
    </row>
    <row r="500" spans="15:24" x14ac:dyDescent="0.25">
      <c r="O500" t="str">
        <f t="shared" si="186"/>
        <v>721d</v>
      </c>
      <c r="P500">
        <v>7</v>
      </c>
      <c r="Q500" s="129" t="s">
        <v>189</v>
      </c>
      <c r="R500" s="65">
        <v>800</v>
      </c>
      <c r="S500" s="38">
        <v>368</v>
      </c>
    </row>
    <row r="501" spans="15:24" x14ac:dyDescent="0.25">
      <c r="O501" t="str">
        <f t="shared" si="186"/>
        <v>721e</v>
      </c>
      <c r="P501">
        <v>7</v>
      </c>
      <c r="Q501" s="129" t="s">
        <v>190</v>
      </c>
      <c r="R501" s="65">
        <v>800</v>
      </c>
      <c r="S501" s="38">
        <v>368</v>
      </c>
    </row>
    <row r="502" spans="15:24" x14ac:dyDescent="0.25">
      <c r="O502" t="str">
        <f t="shared" si="186"/>
        <v>721f</v>
      </c>
      <c r="P502">
        <v>7</v>
      </c>
      <c r="Q502" s="129" t="s">
        <v>191</v>
      </c>
      <c r="R502" s="65">
        <v>800</v>
      </c>
      <c r="S502" s="38">
        <v>368</v>
      </c>
    </row>
    <row r="503" spans="15:24" x14ac:dyDescent="0.25">
      <c r="O503" t="str">
        <f t="shared" si="186"/>
        <v>722</v>
      </c>
      <c r="P503">
        <v>7</v>
      </c>
      <c r="Q503" s="129">
        <v>22</v>
      </c>
      <c r="R503" s="65">
        <v>800</v>
      </c>
      <c r="S503" s="38">
        <v>368</v>
      </c>
    </row>
    <row r="504" spans="15:24" x14ac:dyDescent="0.25">
      <c r="O504" t="str">
        <f t="shared" si="186"/>
        <v>722a</v>
      </c>
      <c r="P504">
        <v>7</v>
      </c>
      <c r="Q504" s="129" t="s">
        <v>160</v>
      </c>
      <c r="R504" s="65">
        <v>800</v>
      </c>
      <c r="S504" s="38">
        <v>368</v>
      </c>
    </row>
    <row r="505" spans="15:24" x14ac:dyDescent="0.25">
      <c r="O505" t="str">
        <f t="shared" si="186"/>
        <v>723</v>
      </c>
      <c r="P505">
        <v>7</v>
      </c>
      <c r="Q505" s="129">
        <v>23</v>
      </c>
      <c r="R505" s="65">
        <v>800</v>
      </c>
      <c r="S505" s="38">
        <v>368</v>
      </c>
    </row>
    <row r="506" spans="15:24" x14ac:dyDescent="0.25">
      <c r="O506" t="str">
        <f t="shared" si="186"/>
        <v>723a</v>
      </c>
      <c r="P506">
        <v>7</v>
      </c>
      <c r="Q506" s="129" t="s">
        <v>161</v>
      </c>
      <c r="R506" s="65">
        <v>615</v>
      </c>
      <c r="S506" s="67">
        <v>0</v>
      </c>
    </row>
    <row r="507" spans="15:24" x14ac:dyDescent="0.25">
      <c r="O507" t="str">
        <f t="shared" si="186"/>
        <v>724</v>
      </c>
      <c r="P507">
        <v>7</v>
      </c>
      <c r="Q507" s="129">
        <v>24</v>
      </c>
      <c r="R507" s="65">
        <v>615</v>
      </c>
      <c r="S507" s="38">
        <v>0</v>
      </c>
      <c r="W507" t="b">
        <f>Tabelle2!$Q$91</f>
        <v>0</v>
      </c>
    </row>
    <row r="508" spans="15:24" x14ac:dyDescent="0.25">
      <c r="O508" t="str">
        <f t="shared" si="186"/>
        <v>724a</v>
      </c>
      <c r="P508">
        <v>7</v>
      </c>
      <c r="Q508" s="129" t="s">
        <v>162</v>
      </c>
      <c r="R508" s="65">
        <v>0</v>
      </c>
      <c r="S508" s="67">
        <v>0</v>
      </c>
      <c r="U508" t="s">
        <v>200</v>
      </c>
      <c r="W508" t="s">
        <v>201</v>
      </c>
    </row>
    <row r="509" spans="15:24" x14ac:dyDescent="0.25">
      <c r="O509" t="str">
        <f t="shared" si="186"/>
        <v>725</v>
      </c>
      <c r="P509">
        <v>7</v>
      </c>
      <c r="Q509" s="129">
        <v>25</v>
      </c>
      <c r="R509" s="119" t="str">
        <f t="shared" ref="R509:S516" si="187">IF($W$507=TRUE,W509,U509)</f>
        <v/>
      </c>
      <c r="S509" s="146" t="e">
        <f t="shared" si="187"/>
        <v>#VALUE!</v>
      </c>
      <c r="U509" s="60" t="str">
        <f>IF($BD$57=TRUE,-290,IF($BE$57=TRUE,-390,""))</f>
        <v/>
      </c>
      <c r="V509" s="122" t="e">
        <f>S490</f>
        <v>#VALUE!</v>
      </c>
      <c r="W509" s="60">
        <v>-675</v>
      </c>
      <c r="X509" s="122" t="e">
        <f>V509</f>
        <v>#VALUE!</v>
      </c>
    </row>
    <row r="510" spans="15:24" x14ac:dyDescent="0.25">
      <c r="O510" t="str">
        <f t="shared" si="186"/>
        <v>725a</v>
      </c>
      <c r="P510">
        <v>7</v>
      </c>
      <c r="Q510" s="129" t="s">
        <v>166</v>
      </c>
      <c r="R510" s="118" t="str">
        <f t="shared" si="187"/>
        <v/>
      </c>
      <c r="S510" s="147" t="e">
        <f t="shared" si="187"/>
        <v>#VALUE!</v>
      </c>
      <c r="U510" s="62" t="str">
        <f>U509</f>
        <v/>
      </c>
      <c r="V510" s="123" t="e">
        <f>S457</f>
        <v>#VALUE!</v>
      </c>
      <c r="W510" s="60">
        <v>-675</v>
      </c>
      <c r="X510" s="123" t="e">
        <f>V510</f>
        <v>#VALUE!</v>
      </c>
    </row>
    <row r="511" spans="15:24" x14ac:dyDescent="0.25">
      <c r="O511" t="str">
        <f t="shared" si="186"/>
        <v>726</v>
      </c>
      <c r="P511">
        <v>7</v>
      </c>
      <c r="Q511" s="129">
        <v>26</v>
      </c>
      <c r="R511" s="118" t="str">
        <f t="shared" si="187"/>
        <v/>
      </c>
      <c r="S511" s="147" t="e">
        <f t="shared" si="187"/>
        <v>#VALUE!</v>
      </c>
      <c r="U511" s="60" t="str">
        <f>IF($BD$57=TRUE,290,IF($BE$57=TRUE,390,""))</f>
        <v/>
      </c>
      <c r="V511" s="123" t="e">
        <f>S490</f>
        <v>#VALUE!</v>
      </c>
      <c r="W511" s="62">
        <f>W509+600</f>
        <v>-75</v>
      </c>
      <c r="X511" s="123" t="e">
        <f>V511</f>
        <v>#VALUE!</v>
      </c>
    </row>
    <row r="512" spans="15:24" x14ac:dyDescent="0.25">
      <c r="O512" t="str">
        <f t="shared" si="186"/>
        <v>726a</v>
      </c>
      <c r="P512">
        <v>7</v>
      </c>
      <c r="Q512" s="129" t="s">
        <v>167</v>
      </c>
      <c r="R512" s="118" t="str">
        <f t="shared" si="187"/>
        <v/>
      </c>
      <c r="S512" s="147" t="e">
        <f t="shared" si="187"/>
        <v>#VALUE!</v>
      </c>
      <c r="U512" s="65" t="str">
        <f>U511</f>
        <v/>
      </c>
      <c r="V512" s="121" t="e">
        <f>V510</f>
        <v>#VALUE!</v>
      </c>
      <c r="W512" s="62">
        <f>W510+600</f>
        <v>-75</v>
      </c>
      <c r="X512" s="123" t="e">
        <f>V512</f>
        <v>#VALUE!</v>
      </c>
    </row>
    <row r="513" spans="15:24" x14ac:dyDescent="0.25">
      <c r="O513" t="str">
        <f t="shared" si="186"/>
        <v>727</v>
      </c>
      <c r="P513">
        <v>7</v>
      </c>
      <c r="Q513" s="115">
        <v>27</v>
      </c>
      <c r="R513" s="118">
        <f t="shared" si="187"/>
        <v>0</v>
      </c>
      <c r="S513" s="147">
        <f t="shared" si="187"/>
        <v>0</v>
      </c>
      <c r="W513" s="62">
        <v>675</v>
      </c>
      <c r="X513" s="123" t="e">
        <f>V509</f>
        <v>#VALUE!</v>
      </c>
    </row>
    <row r="514" spans="15:24" x14ac:dyDescent="0.25">
      <c r="O514" t="str">
        <f t="shared" si="186"/>
        <v>727a</v>
      </c>
      <c r="P514">
        <v>7</v>
      </c>
      <c r="Q514" s="115" t="s">
        <v>202</v>
      </c>
      <c r="R514" s="118">
        <f t="shared" si="187"/>
        <v>0</v>
      </c>
      <c r="S514" s="147">
        <f t="shared" si="187"/>
        <v>0</v>
      </c>
      <c r="W514" s="65">
        <v>675</v>
      </c>
      <c r="X514" s="123" t="e">
        <f>V510</f>
        <v>#VALUE!</v>
      </c>
    </row>
    <row r="515" spans="15:24" x14ac:dyDescent="0.25">
      <c r="O515" t="str">
        <f t="shared" si="186"/>
        <v>728</v>
      </c>
      <c r="P515">
        <v>7</v>
      </c>
      <c r="Q515" s="115">
        <v>28</v>
      </c>
      <c r="R515" s="118">
        <f t="shared" si="187"/>
        <v>0</v>
      </c>
      <c r="S515" s="147">
        <f t="shared" si="187"/>
        <v>0</v>
      </c>
      <c r="W515" s="62">
        <v>75</v>
      </c>
      <c r="X515" s="123" t="e">
        <f>V511</f>
        <v>#VALUE!</v>
      </c>
    </row>
    <row r="516" spans="15:24" x14ac:dyDescent="0.25">
      <c r="O516" t="str">
        <f t="shared" si="186"/>
        <v>728a</v>
      </c>
      <c r="P516">
        <v>7</v>
      </c>
      <c r="Q516" s="115" t="s">
        <v>203</v>
      </c>
      <c r="R516" s="118">
        <f t="shared" si="187"/>
        <v>0</v>
      </c>
      <c r="S516" s="147">
        <f t="shared" si="187"/>
        <v>0</v>
      </c>
      <c r="W516" s="65">
        <v>75</v>
      </c>
      <c r="X516" s="121" t="e">
        <f>V512</f>
        <v>#VALUE!</v>
      </c>
    </row>
    <row r="517" spans="15:24" x14ac:dyDescent="0.25">
      <c r="O517" t="str">
        <f t="shared" si="186"/>
        <v>729</v>
      </c>
      <c r="P517">
        <v>7</v>
      </c>
      <c r="Q517" s="115">
        <v>29</v>
      </c>
      <c r="R517" s="65">
        <f>R494</f>
        <v>800</v>
      </c>
      <c r="S517" s="120" t="e">
        <f>S496</f>
        <v>#VALUE!</v>
      </c>
    </row>
    <row r="518" spans="15:24" x14ac:dyDescent="0.25">
      <c r="O518" t="str">
        <f t="shared" si="186"/>
        <v>729a</v>
      </c>
      <c r="P518">
        <v>7</v>
      </c>
      <c r="Q518" s="115" t="s">
        <v>1909</v>
      </c>
      <c r="R518" s="118" t="e">
        <f>R493</f>
        <v>#VALUE!</v>
      </c>
      <c r="S518" s="120" t="e">
        <f>S496</f>
        <v>#VALUE!</v>
      </c>
    </row>
    <row r="519" spans="15:24" x14ac:dyDescent="0.25">
      <c r="O519" t="str">
        <f t="shared" si="186"/>
        <v>730</v>
      </c>
      <c r="P519">
        <v>7</v>
      </c>
      <c r="Q519" s="115">
        <v>30</v>
      </c>
      <c r="R519" t="e">
        <f>R518</f>
        <v>#VALUE!</v>
      </c>
      <c r="S519" s="120" t="e">
        <f>S518</f>
        <v>#VALUE!</v>
      </c>
    </row>
    <row r="520" spans="15:24" x14ac:dyDescent="0.25">
      <c r="O520" t="str">
        <f t="shared" si="186"/>
        <v>730a</v>
      </c>
      <c r="P520">
        <v>7</v>
      </c>
      <c r="Q520" s="115" t="s">
        <v>1910</v>
      </c>
      <c r="R520" t="e">
        <f>R519</f>
        <v>#VALUE!</v>
      </c>
      <c r="S520" t="e">
        <f>S511</f>
        <v>#VALUE!</v>
      </c>
    </row>
    <row r="521" spans="15:24" x14ac:dyDescent="0.25">
      <c r="O521" t="str">
        <f t="shared" si="186"/>
        <v>731</v>
      </c>
      <c r="P521">
        <v>7</v>
      </c>
      <c r="Q521" s="115">
        <v>31</v>
      </c>
      <c r="R521">
        <f>R489</f>
        <v>-800</v>
      </c>
      <c r="S521" s="120" t="e">
        <f>S487</f>
        <v>#VALUE!</v>
      </c>
    </row>
    <row r="522" spans="15:24" x14ac:dyDescent="0.25">
      <c r="O522" t="str">
        <f t="shared" ref="O522:O528" si="188">P522&amp;Q522</f>
        <v>731a</v>
      </c>
      <c r="P522">
        <v>7</v>
      </c>
      <c r="Q522" s="115" t="s">
        <v>1911</v>
      </c>
      <c r="R522" t="e">
        <f>R490</f>
        <v>#VALUE!</v>
      </c>
      <c r="S522" s="120" t="e">
        <f>S487</f>
        <v>#VALUE!</v>
      </c>
    </row>
    <row r="523" spans="15:24" x14ac:dyDescent="0.25">
      <c r="O523" t="str">
        <f t="shared" si="188"/>
        <v>732</v>
      </c>
      <c r="P523">
        <v>7</v>
      </c>
      <c r="Q523" s="115">
        <v>32</v>
      </c>
      <c r="R523" t="e">
        <f>R490</f>
        <v>#VALUE!</v>
      </c>
      <c r="S523" s="120" t="e">
        <f>S487</f>
        <v>#VALUE!</v>
      </c>
    </row>
    <row r="524" spans="15:24" x14ac:dyDescent="0.25">
      <c r="O524" t="str">
        <f t="shared" si="188"/>
        <v>732a</v>
      </c>
      <c r="P524">
        <v>7</v>
      </c>
      <c r="Q524" s="115" t="s">
        <v>1912</v>
      </c>
      <c r="R524" t="e">
        <f>R490</f>
        <v>#VALUE!</v>
      </c>
      <c r="S524" t="e">
        <f>S520</f>
        <v>#VALUE!</v>
      </c>
    </row>
    <row r="525" spans="15:24" x14ac:dyDescent="0.25">
      <c r="O525" t="str">
        <f t="shared" si="188"/>
        <v>733a</v>
      </c>
      <c r="P525">
        <v>7</v>
      </c>
      <c r="Q525" s="115" t="s">
        <v>1916</v>
      </c>
      <c r="R525" t="str">
        <f>R512</f>
        <v/>
      </c>
      <c r="S525" t="e">
        <f>S524-V493</f>
        <v>#VALUE!</v>
      </c>
    </row>
    <row r="526" spans="15:24" x14ac:dyDescent="0.25">
      <c r="O526" t="str">
        <f t="shared" si="188"/>
        <v>733</v>
      </c>
      <c r="P526">
        <v>7</v>
      </c>
      <c r="Q526" s="115">
        <v>33</v>
      </c>
      <c r="R526" t="str">
        <f>R510</f>
        <v/>
      </c>
      <c r="S526" t="e">
        <f>S525</f>
        <v>#VALUE!</v>
      </c>
    </row>
    <row r="527" spans="15:24" x14ac:dyDescent="0.25">
      <c r="O527" t="str">
        <f t="shared" si="188"/>
        <v>734</v>
      </c>
      <c r="P527">
        <v>7</v>
      </c>
      <c r="Q527" s="115">
        <v>34</v>
      </c>
      <c r="R527" t="str">
        <f>IF(X494=TRUE,R515,R525)</f>
        <v/>
      </c>
      <c r="S527" t="e">
        <f t="shared" ref="S527:S528" si="189">S526</f>
        <v>#VALUE!</v>
      </c>
    </row>
    <row r="528" spans="15:24" x14ac:dyDescent="0.25">
      <c r="O528" t="str">
        <f t="shared" si="188"/>
        <v>734a</v>
      </c>
      <c r="P528">
        <v>7</v>
      </c>
      <c r="Q528" s="115" t="s">
        <v>1917</v>
      </c>
      <c r="R528" t="str">
        <f>IF(X494=TRUE,R514,R526)</f>
        <v/>
      </c>
      <c r="S528" t="e">
        <f t="shared" si="189"/>
        <v>#VALUE!</v>
      </c>
    </row>
    <row r="531" spans="14:19" ht="15.75" thickBot="1" x14ac:dyDescent="0.3"/>
    <row r="532" spans="14:19" x14ac:dyDescent="0.25">
      <c r="N532" s="137" t="s">
        <v>283</v>
      </c>
      <c r="O532" s="137" t="str">
        <f t="shared" ref="O532:O548" si="190">P532&amp;Q532</f>
        <v>81</v>
      </c>
      <c r="P532" s="137">
        <v>8</v>
      </c>
      <c r="Q532" s="141">
        <v>1</v>
      </c>
      <c r="R532" s="142">
        <v>0</v>
      </c>
      <c r="S532" s="143">
        <v>70</v>
      </c>
    </row>
    <row r="533" spans="14:19" x14ac:dyDescent="0.25">
      <c r="N533" s="120" t="e">
        <f>(Schachtselector!C174)+Schachtselector!C180</f>
        <v>#VALUE!</v>
      </c>
      <c r="O533" t="str">
        <f t="shared" si="190"/>
        <v>81a</v>
      </c>
      <c r="P533">
        <v>8</v>
      </c>
      <c r="Q533" s="129" t="s">
        <v>135</v>
      </c>
      <c r="R533" s="60">
        <v>-800</v>
      </c>
      <c r="S533" s="67">
        <v>70</v>
      </c>
    </row>
    <row r="534" spans="14:19" x14ac:dyDescent="0.25">
      <c r="O534" t="str">
        <f t="shared" si="190"/>
        <v>82</v>
      </c>
      <c r="P534">
        <v>8</v>
      </c>
      <c r="Q534" s="129">
        <v>2</v>
      </c>
      <c r="R534" s="60">
        <v>-1000</v>
      </c>
      <c r="S534" s="38">
        <v>368</v>
      </c>
    </row>
    <row r="535" spans="14:19" x14ac:dyDescent="0.25">
      <c r="O535" t="str">
        <f t="shared" si="190"/>
        <v>82a</v>
      </c>
      <c r="P535">
        <v>8</v>
      </c>
      <c r="Q535" s="129" t="s">
        <v>136</v>
      </c>
      <c r="R535" s="60">
        <v>-800</v>
      </c>
      <c r="S535" s="67">
        <v>70</v>
      </c>
    </row>
    <row r="536" spans="14:19" x14ac:dyDescent="0.25">
      <c r="O536" t="str">
        <f t="shared" si="190"/>
        <v>83</v>
      </c>
      <c r="P536">
        <v>8</v>
      </c>
      <c r="Q536" s="129">
        <v>3</v>
      </c>
      <c r="R536" s="65">
        <v>-1000</v>
      </c>
      <c r="S536" s="38">
        <v>368</v>
      </c>
    </row>
    <row r="537" spans="14:19" x14ac:dyDescent="0.25">
      <c r="O537" t="str">
        <f t="shared" si="190"/>
        <v>83a</v>
      </c>
      <c r="P537">
        <v>8</v>
      </c>
      <c r="Q537" s="129" t="s">
        <v>137</v>
      </c>
      <c r="R537" s="65">
        <v>-1000</v>
      </c>
      <c r="S537" s="63">
        <f>$S$8</f>
        <v>820</v>
      </c>
    </row>
    <row r="538" spans="14:19" x14ac:dyDescent="0.25">
      <c r="O538" t="str">
        <f t="shared" si="190"/>
        <v>84</v>
      </c>
      <c r="P538">
        <v>8</v>
      </c>
      <c r="Q538" s="129">
        <v>4</v>
      </c>
      <c r="R538" s="65">
        <v>-1000</v>
      </c>
      <c r="S538" s="38">
        <f t="shared" ref="S538:S545" si="191">$S$8</f>
        <v>820</v>
      </c>
    </row>
    <row r="539" spans="14:19" x14ac:dyDescent="0.25">
      <c r="O539" t="str">
        <f t="shared" si="190"/>
        <v>84a</v>
      </c>
      <c r="P539">
        <v>8</v>
      </c>
      <c r="Q539" s="129" t="s">
        <v>138</v>
      </c>
      <c r="R539" s="65">
        <v>-1000</v>
      </c>
      <c r="S539" s="38">
        <f t="shared" si="191"/>
        <v>820</v>
      </c>
    </row>
    <row r="540" spans="14:19" x14ac:dyDescent="0.25">
      <c r="O540" t="str">
        <f t="shared" si="190"/>
        <v>84b</v>
      </c>
      <c r="P540">
        <v>8</v>
      </c>
      <c r="Q540" s="129" t="s">
        <v>147</v>
      </c>
      <c r="R540" s="65">
        <v>-1000</v>
      </c>
      <c r="S540" s="38">
        <f t="shared" si="191"/>
        <v>820</v>
      </c>
    </row>
    <row r="541" spans="14:19" x14ac:dyDescent="0.25">
      <c r="O541" t="str">
        <f t="shared" si="190"/>
        <v>84c</v>
      </c>
      <c r="P541">
        <v>8</v>
      </c>
      <c r="Q541" s="129" t="s">
        <v>176</v>
      </c>
      <c r="R541" s="65">
        <v>-1000</v>
      </c>
      <c r="S541" s="38">
        <f t="shared" si="191"/>
        <v>820</v>
      </c>
    </row>
    <row r="542" spans="14:19" x14ac:dyDescent="0.25">
      <c r="O542" t="str">
        <f t="shared" si="190"/>
        <v>84d</v>
      </c>
      <c r="P542">
        <v>8</v>
      </c>
      <c r="Q542" s="129" t="s">
        <v>177</v>
      </c>
      <c r="R542" s="65">
        <v>-1000</v>
      </c>
      <c r="S542" s="38">
        <f t="shared" si="191"/>
        <v>820</v>
      </c>
    </row>
    <row r="543" spans="14:19" x14ac:dyDescent="0.25">
      <c r="O543" t="str">
        <f t="shared" si="190"/>
        <v>84e</v>
      </c>
      <c r="P543">
        <v>8</v>
      </c>
      <c r="Q543" s="129" t="s">
        <v>178</v>
      </c>
      <c r="R543" s="65">
        <v>-1000</v>
      </c>
      <c r="S543" s="38">
        <f t="shared" si="191"/>
        <v>820</v>
      </c>
    </row>
    <row r="544" spans="14:19" x14ac:dyDescent="0.25">
      <c r="O544" t="str">
        <f t="shared" si="190"/>
        <v>84f</v>
      </c>
      <c r="P544">
        <v>8</v>
      </c>
      <c r="Q544" s="129" t="s">
        <v>179</v>
      </c>
      <c r="R544" s="65">
        <v>-1000</v>
      </c>
      <c r="S544" s="38">
        <f t="shared" si="191"/>
        <v>820</v>
      </c>
    </row>
    <row r="545" spans="15:19" x14ac:dyDescent="0.25">
      <c r="O545" t="str">
        <f t="shared" si="190"/>
        <v>85</v>
      </c>
      <c r="P545">
        <v>8</v>
      </c>
      <c r="Q545" s="129">
        <v>5</v>
      </c>
      <c r="R545" s="65">
        <v>-1000</v>
      </c>
      <c r="S545" s="38">
        <f t="shared" si="191"/>
        <v>820</v>
      </c>
    </row>
    <row r="546" spans="15:19" x14ac:dyDescent="0.25">
      <c r="O546" t="str">
        <f t="shared" si="190"/>
        <v>85a</v>
      </c>
      <c r="P546">
        <v>8</v>
      </c>
      <c r="Q546" s="129" t="s">
        <v>139</v>
      </c>
      <c r="R546" s="65">
        <v>-1000</v>
      </c>
      <c r="S546" s="121" t="e">
        <f>N533</f>
        <v>#VALUE!</v>
      </c>
    </row>
    <row r="547" spans="15:19" x14ac:dyDescent="0.25">
      <c r="O547" t="str">
        <f t="shared" si="190"/>
        <v>86</v>
      </c>
      <c r="P547">
        <v>8</v>
      </c>
      <c r="Q547" s="129">
        <v>6</v>
      </c>
      <c r="R547" s="65">
        <v>-1000</v>
      </c>
      <c r="S547" s="122" t="e">
        <f>N533</f>
        <v>#VALUE!</v>
      </c>
    </row>
    <row r="548" spans="15:19" x14ac:dyDescent="0.25">
      <c r="O548" t="str">
        <f t="shared" si="190"/>
        <v>86a</v>
      </c>
      <c r="P548">
        <v>8</v>
      </c>
      <c r="Q548" s="129" t="s">
        <v>140</v>
      </c>
      <c r="R548" s="65">
        <v>0</v>
      </c>
      <c r="S548" s="121" t="e">
        <f>S547</f>
        <v>#VALUE!</v>
      </c>
    </row>
    <row r="549" spans="15:19" x14ac:dyDescent="0.25">
      <c r="O549" t="str">
        <f t="shared" ref="O549:O607" si="192">P549&amp;Q549</f>
        <v>87</v>
      </c>
      <c r="P549">
        <v>8</v>
      </c>
      <c r="Q549" s="129">
        <v>7</v>
      </c>
      <c r="R549" s="60">
        <v>0</v>
      </c>
      <c r="S549" s="122" t="e">
        <f>S548</f>
        <v>#VALUE!</v>
      </c>
    </row>
    <row r="550" spans="15:19" x14ac:dyDescent="0.25">
      <c r="O550" t="str">
        <f t="shared" si="192"/>
        <v>87a</v>
      </c>
      <c r="P550">
        <v>8</v>
      </c>
      <c r="Q550" s="129" t="s">
        <v>141</v>
      </c>
      <c r="R550" s="60">
        <v>1000</v>
      </c>
      <c r="S550" s="121" t="e">
        <f>S549</f>
        <v>#VALUE!</v>
      </c>
    </row>
    <row r="551" spans="15:19" x14ac:dyDescent="0.25">
      <c r="O551" t="str">
        <f t="shared" si="192"/>
        <v>88</v>
      </c>
      <c r="P551">
        <v>8</v>
      </c>
      <c r="Q551" s="129">
        <v>8</v>
      </c>
      <c r="R551" s="60">
        <v>1000</v>
      </c>
      <c r="S551" s="121" t="e">
        <f>S550</f>
        <v>#VALUE!</v>
      </c>
    </row>
    <row r="552" spans="15:19" x14ac:dyDescent="0.25">
      <c r="O552" t="str">
        <f t="shared" si="192"/>
        <v>88a</v>
      </c>
      <c r="P552">
        <v>8</v>
      </c>
      <c r="Q552" s="129" t="s">
        <v>142</v>
      </c>
      <c r="R552" s="60">
        <v>1000</v>
      </c>
      <c r="S552" s="123" t="e">
        <f>S551-500</f>
        <v>#VALUE!</v>
      </c>
    </row>
    <row r="553" spans="15:19" x14ac:dyDescent="0.25">
      <c r="O553" t="str">
        <f t="shared" si="192"/>
        <v>89</v>
      </c>
      <c r="P553">
        <v>8</v>
      </c>
      <c r="Q553" s="129">
        <v>9</v>
      </c>
      <c r="R553" s="60">
        <v>1000</v>
      </c>
      <c r="S553" s="121" t="e">
        <f>S552</f>
        <v>#VALUE!</v>
      </c>
    </row>
    <row r="554" spans="15:19" x14ac:dyDescent="0.25">
      <c r="O554" t="str">
        <f t="shared" si="192"/>
        <v>89a</v>
      </c>
      <c r="P554">
        <v>8</v>
      </c>
      <c r="Q554" s="129" t="s">
        <v>143</v>
      </c>
      <c r="R554" s="60">
        <v>1000</v>
      </c>
      <c r="S554" s="38">
        <v>368</v>
      </c>
    </row>
    <row r="555" spans="15:19" x14ac:dyDescent="0.25">
      <c r="O555" t="str">
        <f t="shared" si="192"/>
        <v>89b</v>
      </c>
      <c r="P555">
        <v>8</v>
      </c>
      <c r="Q555" s="129" t="s">
        <v>148</v>
      </c>
      <c r="R555" s="60">
        <v>1000</v>
      </c>
      <c r="S555" s="38">
        <v>368</v>
      </c>
    </row>
    <row r="556" spans="15:19" x14ac:dyDescent="0.25">
      <c r="O556" t="str">
        <f t="shared" si="192"/>
        <v>89c</v>
      </c>
      <c r="P556">
        <v>8</v>
      </c>
      <c r="Q556" s="129" t="s">
        <v>180</v>
      </c>
      <c r="R556" s="60">
        <v>1000</v>
      </c>
      <c r="S556" s="38">
        <v>368</v>
      </c>
    </row>
    <row r="557" spans="15:19" x14ac:dyDescent="0.25">
      <c r="O557" t="str">
        <f t="shared" si="192"/>
        <v>89d</v>
      </c>
      <c r="P557">
        <v>8</v>
      </c>
      <c r="Q557" s="129" t="s">
        <v>181</v>
      </c>
      <c r="R557" s="60">
        <v>1000</v>
      </c>
      <c r="S557" s="38">
        <v>368</v>
      </c>
    </row>
    <row r="558" spans="15:19" x14ac:dyDescent="0.25">
      <c r="O558" t="str">
        <f t="shared" si="192"/>
        <v>89e</v>
      </c>
      <c r="P558">
        <v>8</v>
      </c>
      <c r="Q558" s="129" t="s">
        <v>182</v>
      </c>
      <c r="R558" s="60">
        <v>1000</v>
      </c>
      <c r="S558" s="38">
        <v>368</v>
      </c>
    </row>
    <row r="559" spans="15:19" x14ac:dyDescent="0.25">
      <c r="O559" t="str">
        <f t="shared" si="192"/>
        <v>89f</v>
      </c>
      <c r="P559">
        <v>8</v>
      </c>
      <c r="Q559" s="129" t="s">
        <v>183</v>
      </c>
      <c r="R559" s="60">
        <v>1000</v>
      </c>
      <c r="S559" s="38">
        <v>368</v>
      </c>
    </row>
    <row r="560" spans="15:19" x14ac:dyDescent="0.25">
      <c r="O560" t="str">
        <f t="shared" si="192"/>
        <v>810</v>
      </c>
      <c r="P560">
        <v>8</v>
      </c>
      <c r="Q560" s="129">
        <v>10</v>
      </c>
      <c r="R560" s="60">
        <v>1000</v>
      </c>
      <c r="S560" s="38">
        <v>368</v>
      </c>
    </row>
    <row r="561" spans="15:24" x14ac:dyDescent="0.25">
      <c r="O561" t="str">
        <f t="shared" si="192"/>
        <v>810a</v>
      </c>
      <c r="P561">
        <v>8</v>
      </c>
      <c r="Q561" s="129" t="s">
        <v>144</v>
      </c>
      <c r="R561" s="60">
        <v>1000</v>
      </c>
      <c r="S561" s="38">
        <v>368</v>
      </c>
    </row>
    <row r="562" spans="15:24" x14ac:dyDescent="0.25">
      <c r="O562" t="str">
        <f t="shared" si="192"/>
        <v>811</v>
      </c>
      <c r="P562">
        <v>8</v>
      </c>
      <c r="Q562" s="129">
        <v>11</v>
      </c>
      <c r="R562" s="60">
        <v>1000</v>
      </c>
      <c r="S562" s="38">
        <v>368</v>
      </c>
    </row>
    <row r="563" spans="15:24" x14ac:dyDescent="0.25">
      <c r="O563" t="str">
        <f t="shared" si="192"/>
        <v>811a</v>
      </c>
      <c r="P563">
        <v>8</v>
      </c>
      <c r="Q563" s="129" t="s">
        <v>145</v>
      </c>
      <c r="R563" s="60">
        <v>800</v>
      </c>
      <c r="S563" s="67">
        <v>70</v>
      </c>
    </row>
    <row r="564" spans="15:24" x14ac:dyDescent="0.25">
      <c r="O564" t="str">
        <f t="shared" si="192"/>
        <v>812</v>
      </c>
      <c r="P564">
        <v>8</v>
      </c>
      <c r="Q564" s="129">
        <v>12</v>
      </c>
      <c r="R564" s="60">
        <v>800</v>
      </c>
      <c r="S564" s="38">
        <v>70</v>
      </c>
    </row>
    <row r="565" spans="15:24" ht="15.75" thickBot="1" x14ac:dyDescent="0.3">
      <c r="O565" t="str">
        <f t="shared" si="192"/>
        <v>812a</v>
      </c>
      <c r="P565">
        <v>8</v>
      </c>
      <c r="Q565" s="129" t="s">
        <v>146</v>
      </c>
      <c r="R565" s="116">
        <v>0</v>
      </c>
      <c r="S565" s="117">
        <v>70</v>
      </c>
    </row>
    <row r="566" spans="15:24" x14ac:dyDescent="0.25">
      <c r="O566" t="str">
        <f t="shared" si="192"/>
        <v>813</v>
      </c>
      <c r="P566">
        <v>8</v>
      </c>
      <c r="Q566" s="129">
        <v>13</v>
      </c>
      <c r="R566" s="62">
        <v>0</v>
      </c>
      <c r="S566" s="63">
        <v>0</v>
      </c>
    </row>
    <row r="567" spans="15:24" x14ac:dyDescent="0.25">
      <c r="O567" t="str">
        <f t="shared" si="192"/>
        <v>813a</v>
      </c>
      <c r="P567">
        <v>8</v>
      </c>
      <c r="Q567" s="129" t="s">
        <v>149</v>
      </c>
      <c r="R567" s="65">
        <v>-815</v>
      </c>
      <c r="S567" s="63">
        <v>0</v>
      </c>
      <c r="U567" t="s">
        <v>1915</v>
      </c>
      <c r="V567" t="s">
        <v>1918</v>
      </c>
    </row>
    <row r="568" spans="15:24" x14ac:dyDescent="0.25">
      <c r="O568" t="str">
        <f t="shared" si="192"/>
        <v>814</v>
      </c>
      <c r="P568">
        <v>8</v>
      </c>
      <c r="Q568" s="129">
        <v>14</v>
      </c>
      <c r="R568" s="65">
        <v>-815</v>
      </c>
      <c r="S568" s="38">
        <v>0</v>
      </c>
      <c r="U568">
        <v>50</v>
      </c>
      <c r="V568">
        <v>35</v>
      </c>
    </row>
    <row r="569" spans="15:24" x14ac:dyDescent="0.25">
      <c r="O569" t="str">
        <f t="shared" si="192"/>
        <v>814a</v>
      </c>
      <c r="P569">
        <v>8</v>
      </c>
      <c r="Q569" s="129" t="s">
        <v>150</v>
      </c>
      <c r="R569" s="62">
        <v>-1050</v>
      </c>
      <c r="S569" s="67">
        <v>368</v>
      </c>
      <c r="U569" t="s">
        <v>1914</v>
      </c>
      <c r="W569" t="s">
        <v>1645</v>
      </c>
      <c r="X569" t="b">
        <f>Tabelle2!$Q$91</f>
        <v>0</v>
      </c>
    </row>
    <row r="570" spans="15:24" x14ac:dyDescent="0.25">
      <c r="O570" t="str">
        <f t="shared" si="192"/>
        <v>815</v>
      </c>
      <c r="P570">
        <v>8</v>
      </c>
      <c r="Q570" s="129">
        <v>15</v>
      </c>
      <c r="R570" s="62">
        <v>-1050</v>
      </c>
      <c r="S570" s="67">
        <v>368</v>
      </c>
      <c r="U570" t="s">
        <v>1913</v>
      </c>
      <c r="W570" t="e">
        <f>W585-U568</f>
        <v>#VALUE!</v>
      </c>
    </row>
    <row r="571" spans="15:24" x14ac:dyDescent="0.25">
      <c r="O571" t="str">
        <f t="shared" si="192"/>
        <v>815a</v>
      </c>
      <c r="P571">
        <v>8</v>
      </c>
      <c r="Q571" s="129" t="s">
        <v>151</v>
      </c>
      <c r="R571" s="62">
        <v>-1050</v>
      </c>
      <c r="S571" s="67">
        <v>368</v>
      </c>
      <c r="U571" t="e">
        <f>U585-U568</f>
        <v>#VALUE!</v>
      </c>
      <c r="W571" t="e">
        <f>W589+U568</f>
        <v>#VALUE!</v>
      </c>
    </row>
    <row r="572" spans="15:24" x14ac:dyDescent="0.25">
      <c r="O572" t="str">
        <f t="shared" si="192"/>
        <v>816</v>
      </c>
      <c r="P572">
        <v>8</v>
      </c>
      <c r="Q572" s="129">
        <v>16</v>
      </c>
      <c r="R572" s="62">
        <v>-1050</v>
      </c>
      <c r="S572" s="67">
        <v>368</v>
      </c>
      <c r="U572" t="e">
        <f>U587+U568</f>
        <v>#VALUE!</v>
      </c>
      <c r="W572" t="e">
        <f>W587-U568</f>
        <v>#VALUE!</v>
      </c>
    </row>
    <row r="573" spans="15:24" x14ac:dyDescent="0.25">
      <c r="O573" t="str">
        <f t="shared" si="192"/>
        <v>816a</v>
      </c>
      <c r="P573">
        <v>8</v>
      </c>
      <c r="Q573" s="129" t="s">
        <v>152</v>
      </c>
      <c r="R573" s="62">
        <v>-1050</v>
      </c>
      <c r="S573" s="67">
        <v>368</v>
      </c>
      <c r="W573" t="e">
        <f>W591+U568</f>
        <v>#VALUE!</v>
      </c>
    </row>
    <row r="574" spans="15:24" x14ac:dyDescent="0.25">
      <c r="O574" t="str">
        <f t="shared" si="192"/>
        <v>816b</v>
      </c>
      <c r="P574">
        <v>8</v>
      </c>
      <c r="Q574" s="129" t="s">
        <v>153</v>
      </c>
      <c r="R574" s="62">
        <v>-1050</v>
      </c>
      <c r="S574" s="67">
        <v>368</v>
      </c>
    </row>
    <row r="575" spans="15:24" x14ac:dyDescent="0.25">
      <c r="O575" t="str">
        <f t="shared" si="192"/>
        <v>816c</v>
      </c>
      <c r="P575">
        <v>8</v>
      </c>
      <c r="Q575" s="129" t="s">
        <v>184</v>
      </c>
      <c r="R575" s="62">
        <v>-1050</v>
      </c>
      <c r="S575" s="67">
        <v>368</v>
      </c>
    </row>
    <row r="576" spans="15:24" x14ac:dyDescent="0.25">
      <c r="O576" t="str">
        <f t="shared" si="192"/>
        <v>816d</v>
      </c>
      <c r="P576">
        <v>8</v>
      </c>
      <c r="Q576" s="129" t="s">
        <v>185</v>
      </c>
      <c r="R576" s="62">
        <v>-1050</v>
      </c>
      <c r="S576" s="67">
        <v>368</v>
      </c>
    </row>
    <row r="577" spans="15:26" x14ac:dyDescent="0.25">
      <c r="O577" t="str">
        <f t="shared" si="192"/>
        <v>816e</v>
      </c>
      <c r="P577">
        <v>8</v>
      </c>
      <c r="Q577" s="129" t="s">
        <v>186</v>
      </c>
      <c r="R577" s="62">
        <v>-1050</v>
      </c>
      <c r="S577" s="67">
        <v>368</v>
      </c>
    </row>
    <row r="578" spans="15:26" x14ac:dyDescent="0.25">
      <c r="O578" t="str">
        <f t="shared" si="192"/>
        <v>816f</v>
      </c>
      <c r="P578">
        <v>8</v>
      </c>
      <c r="Q578" s="129" t="s">
        <v>187</v>
      </c>
      <c r="R578" s="62">
        <v>-1050</v>
      </c>
      <c r="S578" s="121" t="e">
        <f>N533+U568</f>
        <v>#VALUE!</v>
      </c>
    </row>
    <row r="579" spans="15:26" x14ac:dyDescent="0.25">
      <c r="O579" t="str">
        <f t="shared" si="192"/>
        <v>817</v>
      </c>
      <c r="P579">
        <v>8</v>
      </c>
      <c r="Q579" s="129">
        <v>17</v>
      </c>
      <c r="R579" s="62">
        <v>-1050</v>
      </c>
      <c r="S579" s="123" t="e">
        <f>S578</f>
        <v>#VALUE!</v>
      </c>
    </row>
    <row r="580" spans="15:26" x14ac:dyDescent="0.25">
      <c r="O580" t="str">
        <f t="shared" si="192"/>
        <v>817a</v>
      </c>
      <c r="P580">
        <v>8</v>
      </c>
      <c r="Q580" s="129" t="s">
        <v>154</v>
      </c>
      <c r="R580" s="62">
        <v>-1050</v>
      </c>
      <c r="S580" s="123" t="e">
        <f>S579</f>
        <v>#VALUE!</v>
      </c>
    </row>
    <row r="581" spans="15:26" x14ac:dyDescent="0.25">
      <c r="O581" t="str">
        <f t="shared" si="192"/>
        <v>818</v>
      </c>
      <c r="P581">
        <v>8</v>
      </c>
      <c r="Q581" s="129">
        <v>18</v>
      </c>
      <c r="R581" s="62" t="e">
        <f>IF(X569=FALSE,U571,W570)</f>
        <v>#VALUE!</v>
      </c>
      <c r="S581" s="123" t="e">
        <f>N533+300</f>
        <v>#VALUE!</v>
      </c>
    </row>
    <row r="582" spans="15:26" x14ac:dyDescent="0.25">
      <c r="O582" t="str">
        <f t="shared" si="192"/>
        <v>818a</v>
      </c>
      <c r="P582">
        <v>8</v>
      </c>
      <c r="Q582" s="129" t="s">
        <v>155</v>
      </c>
      <c r="R582" s="65">
        <f>IF(X569=FALSE,0,0)</f>
        <v>0</v>
      </c>
      <c r="S582" s="123" t="e">
        <f>$S$581</f>
        <v>#VALUE!</v>
      </c>
    </row>
    <row r="583" spans="15:26" x14ac:dyDescent="0.25">
      <c r="O583" t="str">
        <f t="shared" si="192"/>
        <v>819</v>
      </c>
      <c r="P583">
        <v>8</v>
      </c>
      <c r="Q583" s="129">
        <v>19</v>
      </c>
      <c r="R583" s="62">
        <v>0</v>
      </c>
      <c r="S583" s="123" t="e">
        <f>$S$581</f>
        <v>#VALUE!</v>
      </c>
    </row>
    <row r="584" spans="15:26" x14ac:dyDescent="0.25">
      <c r="O584" t="str">
        <f t="shared" si="192"/>
        <v>819a</v>
      </c>
      <c r="P584">
        <v>8</v>
      </c>
      <c r="Q584" s="129" t="s">
        <v>156</v>
      </c>
      <c r="R584" s="65" t="e">
        <f>IF(X569=FALSE,U572,W571)</f>
        <v>#VALUE!</v>
      </c>
      <c r="S584" s="123" t="e">
        <f>$S$581</f>
        <v>#VALUE!</v>
      </c>
      <c r="U584" t="s">
        <v>200</v>
      </c>
      <c r="W584" t="s">
        <v>201</v>
      </c>
    </row>
    <row r="585" spans="15:26" x14ac:dyDescent="0.25">
      <c r="O585" t="str">
        <f t="shared" si="192"/>
        <v>820</v>
      </c>
      <c r="P585">
        <v>8</v>
      </c>
      <c r="Q585" s="129">
        <v>20</v>
      </c>
      <c r="R585" s="65">
        <v>1050</v>
      </c>
      <c r="S585" s="123" t="e">
        <f>S586</f>
        <v>#VALUE!</v>
      </c>
      <c r="U585" s="60" t="str">
        <f>IF($BD$58=TRUE,-290,IF($BE$58=TRUE,-390,""))</f>
        <v/>
      </c>
      <c r="V585" s="122" t="e">
        <f>S581</f>
        <v>#VALUE!</v>
      </c>
      <c r="W585" s="60" t="str">
        <f>IF($BD$58=TRUE,Y585,IF($BE$58=TRUE,Z585,""))</f>
        <v/>
      </c>
      <c r="X585" s="122" t="e">
        <f>V585</f>
        <v>#VALUE!</v>
      </c>
      <c r="Y585" s="60">
        <v>-740</v>
      </c>
      <c r="Z585">
        <v>-840</v>
      </c>
    </row>
    <row r="586" spans="15:26" x14ac:dyDescent="0.25">
      <c r="O586" t="str">
        <f t="shared" si="192"/>
        <v>820a</v>
      </c>
      <c r="P586">
        <v>8</v>
      </c>
      <c r="Q586" s="129" t="s">
        <v>157</v>
      </c>
      <c r="R586" s="65">
        <v>1050</v>
      </c>
      <c r="S586" s="123" t="e">
        <f>S587</f>
        <v>#VALUE!</v>
      </c>
      <c r="U586" s="62" t="str">
        <f>U585</f>
        <v/>
      </c>
      <c r="V586" s="123" t="e">
        <f>S548</f>
        <v>#VALUE!</v>
      </c>
      <c r="W586" s="60" t="str">
        <f t="shared" ref="W586:W592" si="193">IF($BD$58=TRUE,Y586,IF($BE$58=TRUE,Z586,""))</f>
        <v/>
      </c>
      <c r="X586" s="123" t="e">
        <f>V586</f>
        <v>#VALUE!</v>
      </c>
      <c r="Y586" s="60">
        <v>-740</v>
      </c>
      <c r="Z586">
        <v>-840</v>
      </c>
    </row>
    <row r="587" spans="15:26" x14ac:dyDescent="0.25">
      <c r="O587" t="str">
        <f t="shared" si="192"/>
        <v>821</v>
      </c>
      <c r="P587">
        <v>8</v>
      </c>
      <c r="Q587" s="129">
        <v>21</v>
      </c>
      <c r="R587" s="65">
        <v>1050</v>
      </c>
      <c r="S587" s="123" t="e">
        <f>N533+U568</f>
        <v>#VALUE!</v>
      </c>
      <c r="U587" s="60" t="str">
        <f>IF($BD$58=TRUE,290,IF($BE$58=TRUE,390,""))</f>
        <v/>
      </c>
      <c r="V587" s="123" t="e">
        <f>S581</f>
        <v>#VALUE!</v>
      </c>
      <c r="W587" s="60" t="str">
        <f t="shared" si="193"/>
        <v/>
      </c>
      <c r="X587" s="123" t="e">
        <f>V587</f>
        <v>#VALUE!</v>
      </c>
      <c r="Y587" s="62">
        <v>-160</v>
      </c>
      <c r="Z587">
        <v>-60</v>
      </c>
    </row>
    <row r="588" spans="15:26" x14ac:dyDescent="0.25">
      <c r="O588" t="str">
        <f t="shared" si="192"/>
        <v>821a</v>
      </c>
      <c r="P588">
        <v>8</v>
      </c>
      <c r="Q588" s="129" t="s">
        <v>158</v>
      </c>
      <c r="R588" s="65">
        <v>1050</v>
      </c>
      <c r="S588" s="38">
        <v>368</v>
      </c>
      <c r="U588" s="65" t="str">
        <f>U587</f>
        <v/>
      </c>
      <c r="V588" s="121" t="e">
        <f>V586</f>
        <v>#VALUE!</v>
      </c>
      <c r="W588" s="60" t="str">
        <f t="shared" si="193"/>
        <v/>
      </c>
      <c r="X588" s="123" t="e">
        <f>V588</f>
        <v>#VALUE!</v>
      </c>
      <c r="Y588" s="62">
        <v>-160</v>
      </c>
      <c r="Z588">
        <v>-60</v>
      </c>
    </row>
    <row r="589" spans="15:26" x14ac:dyDescent="0.25">
      <c r="O589" t="str">
        <f t="shared" si="192"/>
        <v>821b</v>
      </c>
      <c r="P589">
        <v>8</v>
      </c>
      <c r="Q589" s="129" t="s">
        <v>159</v>
      </c>
      <c r="R589" s="65">
        <v>1050</v>
      </c>
      <c r="S589" s="38">
        <v>368</v>
      </c>
      <c r="W589" s="60" t="str">
        <f t="shared" si="193"/>
        <v/>
      </c>
      <c r="X589" s="123" t="e">
        <f>V585</f>
        <v>#VALUE!</v>
      </c>
      <c r="Y589" s="62">
        <v>740</v>
      </c>
      <c r="Z589">
        <v>840</v>
      </c>
    </row>
    <row r="590" spans="15:26" x14ac:dyDescent="0.25">
      <c r="O590" t="str">
        <f t="shared" si="192"/>
        <v>821c</v>
      </c>
      <c r="P590">
        <v>8</v>
      </c>
      <c r="Q590" s="129" t="s">
        <v>188</v>
      </c>
      <c r="R590" s="65">
        <v>1050</v>
      </c>
      <c r="S590" s="38">
        <v>368</v>
      </c>
      <c r="W590" s="60" t="str">
        <f t="shared" si="193"/>
        <v/>
      </c>
      <c r="X590" s="123" t="e">
        <f>V586</f>
        <v>#VALUE!</v>
      </c>
      <c r="Y590" s="65">
        <v>740</v>
      </c>
      <c r="Z590">
        <v>840</v>
      </c>
    </row>
    <row r="591" spans="15:26" x14ac:dyDescent="0.25">
      <c r="O591" t="str">
        <f t="shared" si="192"/>
        <v>821d</v>
      </c>
      <c r="P591">
        <v>8</v>
      </c>
      <c r="Q591" s="129" t="s">
        <v>189</v>
      </c>
      <c r="R591" s="65">
        <v>1050</v>
      </c>
      <c r="S591" s="38">
        <v>368</v>
      </c>
      <c r="W591" s="60" t="str">
        <f t="shared" si="193"/>
        <v/>
      </c>
      <c r="X591" s="123" t="e">
        <f>V587</f>
        <v>#VALUE!</v>
      </c>
      <c r="Y591" s="62">
        <v>160</v>
      </c>
      <c r="Z591">
        <v>60</v>
      </c>
    </row>
    <row r="592" spans="15:26" x14ac:dyDescent="0.25">
      <c r="O592" t="str">
        <f t="shared" si="192"/>
        <v>821e</v>
      </c>
      <c r="P592">
        <v>8</v>
      </c>
      <c r="Q592" s="129" t="s">
        <v>190</v>
      </c>
      <c r="R592" s="65">
        <v>1050</v>
      </c>
      <c r="S592" s="38">
        <v>368</v>
      </c>
      <c r="W592" s="60" t="str">
        <f t="shared" si="193"/>
        <v/>
      </c>
      <c r="X592" s="121" t="e">
        <f>V588</f>
        <v>#VALUE!</v>
      </c>
      <c r="Y592" s="65">
        <v>160</v>
      </c>
      <c r="Z592">
        <v>60</v>
      </c>
    </row>
    <row r="593" spans="15:19" x14ac:dyDescent="0.25">
      <c r="O593" t="str">
        <f t="shared" si="192"/>
        <v>821f</v>
      </c>
      <c r="P593">
        <v>8</v>
      </c>
      <c r="Q593" s="129" t="s">
        <v>191</v>
      </c>
      <c r="R593" s="65">
        <v>1050</v>
      </c>
      <c r="S593" s="38">
        <v>368</v>
      </c>
    </row>
    <row r="594" spans="15:19" x14ac:dyDescent="0.25">
      <c r="O594" t="str">
        <f t="shared" si="192"/>
        <v>822</v>
      </c>
      <c r="P594">
        <v>8</v>
      </c>
      <c r="Q594" s="129">
        <v>22</v>
      </c>
      <c r="R594" s="65">
        <v>1050</v>
      </c>
      <c r="S594" s="38">
        <v>368</v>
      </c>
    </row>
    <row r="595" spans="15:19" x14ac:dyDescent="0.25">
      <c r="O595" t="str">
        <f t="shared" si="192"/>
        <v>822a</v>
      </c>
      <c r="P595">
        <v>8</v>
      </c>
      <c r="Q595" s="129" t="s">
        <v>160</v>
      </c>
      <c r="R595" s="65">
        <v>1050</v>
      </c>
      <c r="S595" s="38">
        <v>368</v>
      </c>
    </row>
    <row r="596" spans="15:19" x14ac:dyDescent="0.25">
      <c r="O596" t="str">
        <f t="shared" si="192"/>
        <v>823</v>
      </c>
      <c r="P596">
        <v>8</v>
      </c>
      <c r="Q596" s="129">
        <v>23</v>
      </c>
      <c r="R596" s="65">
        <v>1050</v>
      </c>
      <c r="S596" s="38">
        <v>368</v>
      </c>
    </row>
    <row r="597" spans="15:19" x14ac:dyDescent="0.25">
      <c r="O597" t="str">
        <f t="shared" si="192"/>
        <v>823a</v>
      </c>
      <c r="P597">
        <v>8</v>
      </c>
      <c r="Q597" s="129" t="s">
        <v>161</v>
      </c>
      <c r="R597" s="65">
        <v>815</v>
      </c>
      <c r="S597" s="67">
        <v>0</v>
      </c>
    </row>
    <row r="598" spans="15:19" x14ac:dyDescent="0.25">
      <c r="O598" t="str">
        <f t="shared" si="192"/>
        <v>824</v>
      </c>
      <c r="P598">
        <v>8</v>
      </c>
      <c r="Q598" s="129">
        <v>24</v>
      </c>
      <c r="R598" s="65">
        <v>815</v>
      </c>
      <c r="S598" s="38">
        <v>0</v>
      </c>
    </row>
    <row r="599" spans="15:19" x14ac:dyDescent="0.25">
      <c r="O599" t="str">
        <f t="shared" si="192"/>
        <v>824a</v>
      </c>
      <c r="P599">
        <v>8</v>
      </c>
      <c r="Q599" s="129" t="s">
        <v>162</v>
      </c>
      <c r="R599" s="65">
        <v>0</v>
      </c>
      <c r="S599" s="67">
        <v>0</v>
      </c>
    </row>
    <row r="600" spans="15:19" x14ac:dyDescent="0.25">
      <c r="O600" t="str">
        <f t="shared" si="192"/>
        <v>825</v>
      </c>
      <c r="P600">
        <v>8</v>
      </c>
      <c r="Q600" s="129">
        <v>25</v>
      </c>
      <c r="R600" s="119" t="str">
        <f t="shared" ref="R600:S607" si="194">IF($W$507=TRUE,W585,U585)</f>
        <v/>
      </c>
      <c r="S600" s="146" t="e">
        <f t="shared" si="194"/>
        <v>#VALUE!</v>
      </c>
    </row>
    <row r="601" spans="15:19" x14ac:dyDescent="0.25">
      <c r="O601" t="str">
        <f t="shared" si="192"/>
        <v>825a</v>
      </c>
      <c r="P601">
        <v>8</v>
      </c>
      <c r="Q601" s="129" t="s">
        <v>166</v>
      </c>
      <c r="R601" s="118" t="str">
        <f t="shared" si="194"/>
        <v/>
      </c>
      <c r="S601" s="147" t="e">
        <f t="shared" si="194"/>
        <v>#VALUE!</v>
      </c>
    </row>
    <row r="602" spans="15:19" x14ac:dyDescent="0.25">
      <c r="O602" t="str">
        <f t="shared" si="192"/>
        <v>826</v>
      </c>
      <c r="P602">
        <v>8</v>
      </c>
      <c r="Q602" s="129">
        <v>26</v>
      </c>
      <c r="R602" s="118" t="str">
        <f t="shared" si="194"/>
        <v/>
      </c>
      <c r="S602" s="147" t="e">
        <f t="shared" si="194"/>
        <v>#VALUE!</v>
      </c>
    </row>
    <row r="603" spans="15:19" x14ac:dyDescent="0.25">
      <c r="O603" t="str">
        <f t="shared" si="192"/>
        <v>826a</v>
      </c>
      <c r="P603">
        <v>8</v>
      </c>
      <c r="Q603" s="129" t="s">
        <v>167</v>
      </c>
      <c r="R603" s="118" t="str">
        <f t="shared" si="194"/>
        <v/>
      </c>
      <c r="S603" s="147" t="e">
        <f t="shared" si="194"/>
        <v>#VALUE!</v>
      </c>
    </row>
    <row r="604" spans="15:19" x14ac:dyDescent="0.25">
      <c r="O604" t="str">
        <f t="shared" si="192"/>
        <v>827</v>
      </c>
      <c r="P604">
        <v>8</v>
      </c>
      <c r="Q604" s="115">
        <v>27</v>
      </c>
      <c r="R604" s="118">
        <f t="shared" si="194"/>
        <v>0</v>
      </c>
      <c r="S604" s="147">
        <f t="shared" si="194"/>
        <v>0</v>
      </c>
    </row>
    <row r="605" spans="15:19" x14ac:dyDescent="0.25">
      <c r="O605" t="str">
        <f t="shared" si="192"/>
        <v>827a</v>
      </c>
      <c r="P605">
        <v>8</v>
      </c>
      <c r="Q605" s="115" t="s">
        <v>202</v>
      </c>
      <c r="R605" s="118">
        <f t="shared" si="194"/>
        <v>0</v>
      </c>
      <c r="S605" s="147">
        <f t="shared" si="194"/>
        <v>0</v>
      </c>
    </row>
    <row r="606" spans="15:19" x14ac:dyDescent="0.25">
      <c r="O606" t="str">
        <f t="shared" si="192"/>
        <v>828</v>
      </c>
      <c r="P606">
        <v>8</v>
      </c>
      <c r="Q606" s="115">
        <v>28</v>
      </c>
      <c r="R606" s="118">
        <f t="shared" si="194"/>
        <v>0</v>
      </c>
      <c r="S606" s="147">
        <f t="shared" si="194"/>
        <v>0</v>
      </c>
    </row>
    <row r="607" spans="15:19" x14ac:dyDescent="0.25">
      <c r="O607" t="str">
        <f t="shared" si="192"/>
        <v>828a</v>
      </c>
      <c r="P607">
        <v>8</v>
      </c>
      <c r="Q607" s="115" t="s">
        <v>203</v>
      </c>
      <c r="R607" s="118">
        <f t="shared" si="194"/>
        <v>0</v>
      </c>
      <c r="S607" s="147">
        <f t="shared" si="194"/>
        <v>0</v>
      </c>
    </row>
    <row r="608" spans="15:19" x14ac:dyDescent="0.25">
      <c r="O608" t="str">
        <f t="shared" ref="O608:O619" si="195">P608&amp;Q608</f>
        <v>829</v>
      </c>
      <c r="P608">
        <v>8</v>
      </c>
      <c r="Q608" s="115">
        <v>29</v>
      </c>
      <c r="R608" s="65">
        <f>R585</f>
        <v>1050</v>
      </c>
      <c r="S608" s="120" t="e">
        <f>S587</f>
        <v>#VALUE!</v>
      </c>
    </row>
    <row r="609" spans="15:19" x14ac:dyDescent="0.25">
      <c r="O609" t="str">
        <f t="shared" si="195"/>
        <v>829a</v>
      </c>
      <c r="P609">
        <v>8</v>
      </c>
      <c r="Q609" s="115" t="s">
        <v>1909</v>
      </c>
      <c r="R609" s="118" t="e">
        <f>R584</f>
        <v>#VALUE!</v>
      </c>
      <c r="S609" s="120" t="e">
        <f>S587</f>
        <v>#VALUE!</v>
      </c>
    </row>
    <row r="610" spans="15:19" x14ac:dyDescent="0.25">
      <c r="O610" t="str">
        <f t="shared" si="195"/>
        <v>830</v>
      </c>
      <c r="P610">
        <v>8</v>
      </c>
      <c r="Q610" s="115">
        <v>30</v>
      </c>
      <c r="R610" t="e">
        <f>R609</f>
        <v>#VALUE!</v>
      </c>
      <c r="S610" s="120" t="e">
        <f>S609</f>
        <v>#VALUE!</v>
      </c>
    </row>
    <row r="611" spans="15:19" x14ac:dyDescent="0.25">
      <c r="O611" t="str">
        <f t="shared" si="195"/>
        <v>830a</v>
      </c>
      <c r="P611">
        <v>8</v>
      </c>
      <c r="Q611" s="115" t="s">
        <v>1910</v>
      </c>
      <c r="R611" t="e">
        <f>R610</f>
        <v>#VALUE!</v>
      </c>
      <c r="S611" t="e">
        <f>S602</f>
        <v>#VALUE!</v>
      </c>
    </row>
    <row r="612" spans="15:19" x14ac:dyDescent="0.25">
      <c r="O612" t="str">
        <f t="shared" si="195"/>
        <v>831</v>
      </c>
      <c r="P612">
        <v>8</v>
      </c>
      <c r="Q612" s="115">
        <v>31</v>
      </c>
      <c r="R612">
        <f>R580</f>
        <v>-1050</v>
      </c>
      <c r="S612" s="120" t="e">
        <f>S578</f>
        <v>#VALUE!</v>
      </c>
    </row>
    <row r="613" spans="15:19" x14ac:dyDescent="0.25">
      <c r="O613" t="str">
        <f t="shared" si="195"/>
        <v>831a</v>
      </c>
      <c r="P613">
        <v>8</v>
      </c>
      <c r="Q613" s="115" t="s">
        <v>1911</v>
      </c>
      <c r="R613" t="e">
        <f>R581</f>
        <v>#VALUE!</v>
      </c>
      <c r="S613" s="120" t="e">
        <f>S578</f>
        <v>#VALUE!</v>
      </c>
    </row>
    <row r="614" spans="15:19" x14ac:dyDescent="0.25">
      <c r="O614" t="str">
        <f t="shared" si="195"/>
        <v>832</v>
      </c>
      <c r="P614">
        <v>8</v>
      </c>
      <c r="Q614" s="115">
        <v>32</v>
      </c>
      <c r="R614" t="e">
        <f>R581</f>
        <v>#VALUE!</v>
      </c>
      <c r="S614" s="120" t="e">
        <f>S578</f>
        <v>#VALUE!</v>
      </c>
    </row>
    <row r="615" spans="15:19" x14ac:dyDescent="0.25">
      <c r="O615" t="str">
        <f t="shared" si="195"/>
        <v>832a</v>
      </c>
      <c r="P615">
        <v>8</v>
      </c>
      <c r="Q615" s="115" t="s">
        <v>1912</v>
      </c>
      <c r="R615" t="e">
        <f>R581</f>
        <v>#VALUE!</v>
      </c>
      <c r="S615" t="e">
        <f>S611</f>
        <v>#VALUE!</v>
      </c>
    </row>
    <row r="616" spans="15:19" x14ac:dyDescent="0.25">
      <c r="O616" t="str">
        <f t="shared" si="195"/>
        <v>833a</v>
      </c>
      <c r="P616">
        <v>8</v>
      </c>
      <c r="Q616" s="115" t="s">
        <v>1916</v>
      </c>
      <c r="R616" t="str">
        <f>R603</f>
        <v/>
      </c>
      <c r="S616" t="e">
        <f>S615-V568</f>
        <v>#VALUE!</v>
      </c>
    </row>
    <row r="617" spans="15:19" x14ac:dyDescent="0.25">
      <c r="O617" t="str">
        <f t="shared" si="195"/>
        <v>833</v>
      </c>
      <c r="P617">
        <v>8</v>
      </c>
      <c r="Q617" s="115">
        <v>33</v>
      </c>
      <c r="R617" t="str">
        <f>R601</f>
        <v/>
      </c>
      <c r="S617" t="e">
        <f>S616</f>
        <v>#VALUE!</v>
      </c>
    </row>
    <row r="618" spans="15:19" x14ac:dyDescent="0.25">
      <c r="O618" t="str">
        <f t="shared" si="195"/>
        <v>834</v>
      </c>
      <c r="P618">
        <v>8</v>
      </c>
      <c r="Q618" s="115">
        <v>34</v>
      </c>
      <c r="R618" t="str">
        <f>IF(X569=TRUE,R606,R616)</f>
        <v/>
      </c>
      <c r="S618" t="e">
        <f t="shared" ref="S618:S619" si="196">S617</f>
        <v>#VALUE!</v>
      </c>
    </row>
    <row r="619" spans="15:19" x14ac:dyDescent="0.25">
      <c r="O619" t="str">
        <f t="shared" si="195"/>
        <v>834a</v>
      </c>
      <c r="P619">
        <v>8</v>
      </c>
      <c r="Q619" s="115" t="s">
        <v>1917</v>
      </c>
      <c r="R619" t="str">
        <f>IF(X569=TRUE,R605,R617)</f>
        <v/>
      </c>
      <c r="S619" t="e">
        <f t="shared" si="196"/>
        <v>#VALUE!</v>
      </c>
    </row>
  </sheetData>
  <customSheetViews>
    <customSheetView guid="{293DBBB2-31AB-49B6-80A6-A09BA6CFC857}" scale="85" state="hidden" topLeftCell="BA67">
      <selection activeCell="F18" sqref="F18"/>
      <pageMargins left="0.7" right="0.7" top="0.78740157499999996" bottom="0.78740157499999996" header="0.3" footer="0.3"/>
      <pageSetup paperSize="9" orientation="portrait" r:id="rId1"/>
    </customSheetView>
    <customSheetView guid="{94E92B89-7E11-4D1B-8822-B6B0BD88CF68}" scale="75" state="hidden">
      <selection activeCell="B19" sqref="B19"/>
      <pageMargins left="0.7" right="0.7" top="0.78740157499999996" bottom="0.78740157499999996" header="0.3" footer="0.3"/>
      <pageSetup paperSize="9" orientation="portrait" r:id="rId2"/>
    </customSheetView>
  </customSheetViews>
  <pageMargins left="0.7" right="0.7" top="0.78740157499999996" bottom="0.78740157499999996" header="0.3" footer="0.3"/>
  <pageSetup paperSize="9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T769"/>
  <sheetViews>
    <sheetView topLeftCell="A139" zoomScale="55" zoomScaleNormal="55" workbookViewId="0">
      <selection activeCell="M117" sqref="M117"/>
    </sheetView>
  </sheetViews>
  <sheetFormatPr baseColWidth="10" defaultRowHeight="15" x14ac:dyDescent="0.25"/>
  <cols>
    <col min="1" max="1" width="13.140625" customWidth="1"/>
    <col min="2" max="2" width="14.7109375" customWidth="1"/>
    <col min="4" max="4" width="18.7109375" customWidth="1"/>
    <col min="8" max="8" width="18.7109375" customWidth="1"/>
    <col min="11" max="11" width="44.42578125" bestFit="1" customWidth="1"/>
    <col min="12" max="12" width="15.28515625" customWidth="1"/>
    <col min="13" max="13" width="97.85546875" customWidth="1"/>
    <col min="14" max="14" width="35.85546875" bestFit="1" customWidth="1"/>
    <col min="15" max="15" width="11.42578125" style="115" bestFit="1" customWidth="1"/>
    <col min="16" max="16" width="16.28515625" customWidth="1"/>
  </cols>
  <sheetData>
    <row r="2" spans="6:13" x14ac:dyDescent="0.25">
      <c r="F2" t="s">
        <v>70</v>
      </c>
    </row>
    <row r="3" spans="6:13" x14ac:dyDescent="0.25">
      <c r="F3" t="s">
        <v>352</v>
      </c>
      <c r="K3">
        <v>80</v>
      </c>
      <c r="L3">
        <v>100</v>
      </c>
      <c r="M3">
        <v>150</v>
      </c>
    </row>
    <row r="4" spans="6:13" x14ac:dyDescent="0.25">
      <c r="F4" t="s">
        <v>348</v>
      </c>
      <c r="H4" t="s">
        <v>345</v>
      </c>
      <c r="K4" t="s">
        <v>353</v>
      </c>
    </row>
    <row r="5" spans="6:13" x14ac:dyDescent="0.25">
      <c r="F5" t="s">
        <v>349</v>
      </c>
      <c r="G5">
        <v>850</v>
      </c>
      <c r="H5" t="s">
        <v>349</v>
      </c>
      <c r="I5">
        <v>1230</v>
      </c>
      <c r="K5">
        <v>1215</v>
      </c>
      <c r="L5">
        <f>K5+$K$23</f>
        <v>1465</v>
      </c>
      <c r="M5">
        <f>L5+$L$23</f>
        <v>1965</v>
      </c>
    </row>
    <row r="6" spans="6:13" x14ac:dyDescent="0.25">
      <c r="F6" t="s">
        <v>350</v>
      </c>
      <c r="G6">
        <v>737</v>
      </c>
      <c r="H6" t="s">
        <v>350</v>
      </c>
      <c r="I6">
        <v>1060</v>
      </c>
      <c r="K6">
        <v>1034</v>
      </c>
      <c r="L6">
        <f>K6+$K$23</f>
        <v>1284</v>
      </c>
      <c r="M6">
        <f>L6+$L$23</f>
        <v>1784</v>
      </c>
    </row>
    <row r="7" spans="6:13" x14ac:dyDescent="0.25">
      <c r="F7" t="s">
        <v>351</v>
      </c>
      <c r="G7">
        <v>640</v>
      </c>
      <c r="H7" t="s">
        <v>351</v>
      </c>
      <c r="I7">
        <v>708</v>
      </c>
      <c r="K7">
        <v>850</v>
      </c>
      <c r="L7">
        <f>K7+$K$23</f>
        <v>1100</v>
      </c>
      <c r="M7">
        <f>L7+$L$23</f>
        <v>1600</v>
      </c>
    </row>
    <row r="11" spans="6:13" x14ac:dyDescent="0.25">
      <c r="F11" t="s">
        <v>354</v>
      </c>
    </row>
    <row r="12" spans="6:13" x14ac:dyDescent="0.25">
      <c r="F12" t="s">
        <v>349</v>
      </c>
      <c r="G12">
        <v>850</v>
      </c>
      <c r="H12">
        <v>1003</v>
      </c>
    </row>
    <row r="13" spans="6:13" x14ac:dyDescent="0.25">
      <c r="F13" t="s">
        <v>350</v>
      </c>
      <c r="G13">
        <v>737</v>
      </c>
      <c r="H13">
        <v>890</v>
      </c>
    </row>
    <row r="14" spans="6:13" x14ac:dyDescent="0.25">
      <c r="F14" t="s">
        <v>351</v>
      </c>
      <c r="G14">
        <v>640</v>
      </c>
      <c r="H14">
        <v>793</v>
      </c>
    </row>
    <row r="16" spans="6:13" ht="15.75" thickBot="1" x14ac:dyDescent="0.3"/>
    <row r="17" spans="1:20" x14ac:dyDescent="0.25">
      <c r="B17" s="1" t="s">
        <v>43</v>
      </c>
      <c r="C17" s="8"/>
      <c r="D17" s="8"/>
      <c r="E17" s="8" t="s">
        <v>173</v>
      </c>
      <c r="F17" s="8"/>
      <c r="G17" s="8"/>
      <c r="H17" s="8" t="s">
        <v>174</v>
      </c>
      <c r="I17" s="8"/>
      <c r="J17" s="8"/>
      <c r="K17" s="8" t="s">
        <v>291</v>
      </c>
      <c r="L17" s="8"/>
      <c r="M17" s="8" t="s">
        <v>292</v>
      </c>
      <c r="N17" s="8"/>
      <c r="O17" s="468" t="s">
        <v>347</v>
      </c>
      <c r="P17" s="8"/>
      <c r="Q17" s="8" t="s">
        <v>293</v>
      </c>
      <c r="R17" s="8"/>
      <c r="S17" s="8" t="s">
        <v>294</v>
      </c>
      <c r="T17" s="2"/>
    </row>
    <row r="18" spans="1:20" x14ac:dyDescent="0.25">
      <c r="B18" s="3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207"/>
      <c r="P18" s="9"/>
      <c r="Q18" s="9"/>
      <c r="R18" s="9"/>
      <c r="S18" s="9"/>
      <c r="T18" s="4"/>
    </row>
    <row r="19" spans="1:20" ht="15.75" thickBot="1" x14ac:dyDescent="0.3">
      <c r="B19" s="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469"/>
      <c r="P19" s="10"/>
      <c r="Q19" s="10"/>
      <c r="R19" s="10"/>
      <c r="S19" s="10"/>
      <c r="T19" s="6"/>
    </row>
    <row r="21" spans="1:20" x14ac:dyDescent="0.25">
      <c r="A21" t="s">
        <v>356</v>
      </c>
      <c r="B21">
        <f>90+C22</f>
        <v>90</v>
      </c>
      <c r="E21">
        <f>C22+130</f>
        <v>130</v>
      </c>
      <c r="H21">
        <f>C22+170</f>
        <v>170</v>
      </c>
      <c r="K21">
        <f>C22+90</f>
        <v>90</v>
      </c>
      <c r="M21">
        <f>C22+90</f>
        <v>90</v>
      </c>
      <c r="O21" s="115">
        <f>C22+90</f>
        <v>90</v>
      </c>
      <c r="Q21">
        <f>C22+90</f>
        <v>90</v>
      </c>
      <c r="S21">
        <f>C22+90</f>
        <v>90</v>
      </c>
    </row>
    <row r="22" spans="1:20" x14ac:dyDescent="0.25">
      <c r="A22" t="s">
        <v>355</v>
      </c>
      <c r="B22">
        <v>200</v>
      </c>
      <c r="C22" s="28">
        <f>IF(Tabelle2!Q91=TRUE,Linkauswahl!B22,0)</f>
        <v>0</v>
      </c>
    </row>
    <row r="23" spans="1:20" x14ac:dyDescent="0.25">
      <c r="H23" s="60"/>
      <c r="I23" s="61"/>
      <c r="J23" s="28" t="e">
        <f>Tabelle3!$AD$13</f>
        <v>#VALUE!</v>
      </c>
      <c r="K23" s="61">
        <v>250</v>
      </c>
      <c r="L23" s="38">
        <v>500</v>
      </c>
    </row>
    <row r="24" spans="1:20" x14ac:dyDescent="0.25">
      <c r="H24" s="62"/>
      <c r="I24" s="9" t="b">
        <v>1</v>
      </c>
      <c r="J24" s="9" t="s">
        <v>349</v>
      </c>
      <c r="K24" s="9" t="s">
        <v>350</v>
      </c>
      <c r="L24" s="63" t="s">
        <v>351</v>
      </c>
    </row>
    <row r="25" spans="1:20" x14ac:dyDescent="0.25">
      <c r="B25" s="60" t="str">
        <f>Tabelle3!B7</f>
        <v>FPS 600</v>
      </c>
      <c r="C25" s="61" t="b">
        <f>Tabelle3!C7</f>
        <v>0</v>
      </c>
      <c r="D25" s="38">
        <f>IF(C25=TRUE,B21,0)</f>
        <v>0</v>
      </c>
      <c r="H25" s="32" t="s">
        <v>70</v>
      </c>
      <c r="I25" s="9" t="b">
        <f>Tabelle2!B42</f>
        <v>0</v>
      </c>
      <c r="J25" s="9">
        <v>850</v>
      </c>
      <c r="K25" s="9">
        <v>737</v>
      </c>
      <c r="L25" s="63">
        <v>640</v>
      </c>
    </row>
    <row r="26" spans="1:20" x14ac:dyDescent="0.25">
      <c r="B26" s="62" t="str">
        <f>Tabelle3!B8</f>
        <v xml:space="preserve"> FPS DN 800</v>
      </c>
      <c r="C26" s="9" t="b">
        <f>Tabelle3!C8</f>
        <v>0</v>
      </c>
      <c r="D26" s="63">
        <f>IF(C26=TRUE,E21,0)</f>
        <v>0</v>
      </c>
      <c r="H26" s="139" t="s">
        <v>352</v>
      </c>
      <c r="I26" s="9" t="b">
        <f>Tabelle2!B37</f>
        <v>0</v>
      </c>
      <c r="J26" s="9">
        <v>850</v>
      </c>
      <c r="K26" s="9">
        <v>737</v>
      </c>
      <c r="L26" s="63">
        <v>640</v>
      </c>
    </row>
    <row r="27" spans="1:20" x14ac:dyDescent="0.25">
      <c r="B27" s="62" t="str">
        <f>Tabelle3!B9</f>
        <v xml:space="preserve"> FPS DN 1000</v>
      </c>
      <c r="C27" s="9" t="b">
        <f>Tabelle3!C9</f>
        <v>1</v>
      </c>
      <c r="D27" s="63">
        <f>IF(C27=TRUE,H21,0)</f>
        <v>170</v>
      </c>
      <c r="H27" s="140" t="s">
        <v>348</v>
      </c>
      <c r="I27" s="9" t="b">
        <f>IF(OR(Tabelle2!B32=TRUE,Tabelle2!B33=TRUE,Tabelle2!B34=TRUE,Tabelle2!B35=TRUE),TRUE,FALSE)</f>
        <v>0</v>
      </c>
      <c r="J27" s="9">
        <v>850</v>
      </c>
      <c r="K27" s="9">
        <v>737</v>
      </c>
      <c r="L27" s="63">
        <v>640</v>
      </c>
    </row>
    <row r="28" spans="1:20" x14ac:dyDescent="0.25">
      <c r="B28" s="62" t="str">
        <f>Tabelle3!B10</f>
        <v>NSK DN 1250</v>
      </c>
      <c r="C28" s="9" t="b">
        <f>Tabelle3!C10</f>
        <v>0</v>
      </c>
      <c r="D28" s="63">
        <f>IF(C28=TRUE,K21,0)</f>
        <v>0</v>
      </c>
      <c r="H28" s="62" t="s">
        <v>345</v>
      </c>
      <c r="I28" s="9" t="b">
        <f>Tabelle2!B38</f>
        <v>0</v>
      </c>
      <c r="J28" s="9">
        <v>1110</v>
      </c>
      <c r="K28" s="9">
        <v>910</v>
      </c>
      <c r="L28" s="63">
        <v>708</v>
      </c>
    </row>
    <row r="29" spans="1:20" x14ac:dyDescent="0.25">
      <c r="B29" s="62" t="str">
        <f>Tabelle3!B11</f>
        <v>NSZ  DN 1250</v>
      </c>
      <c r="C29" s="9" t="b">
        <f>Tabelle3!C11</f>
        <v>0</v>
      </c>
      <c r="D29" s="63">
        <f>IF(C29=TRUE,M21,0)</f>
        <v>0</v>
      </c>
      <c r="H29" s="62" t="s">
        <v>357</v>
      </c>
      <c r="I29" s="9" t="b">
        <f>IF(OR(Tabelle2!B44=TRUE,Tabelle2!B47=TRUE),TRUE,FALSE)</f>
        <v>0</v>
      </c>
      <c r="J29" s="9">
        <v>1125</v>
      </c>
      <c r="K29" s="9">
        <v>944</v>
      </c>
      <c r="L29" s="63">
        <v>800</v>
      </c>
    </row>
    <row r="30" spans="1:20" x14ac:dyDescent="0.25">
      <c r="B30" s="62" t="str">
        <f>Tabelle3!B12</f>
        <v>NSZD DN 1250</v>
      </c>
      <c r="C30" s="9" t="b">
        <f>Tabelle3!C12</f>
        <v>0</v>
      </c>
      <c r="D30" s="63">
        <f>IF(C30=TRUE,O21,0)</f>
        <v>0</v>
      </c>
      <c r="H30" s="62" t="s">
        <v>358</v>
      </c>
      <c r="I30" s="9" t="b">
        <f>IF(OR(Tabelle2!B45=TRUE,Tabelle2!B48=TRUE),TRUE,FALSE)</f>
        <v>0</v>
      </c>
      <c r="J30" s="9">
        <f>J29+$K$23</f>
        <v>1375</v>
      </c>
      <c r="K30" s="9">
        <f>K29+$K$23</f>
        <v>1194</v>
      </c>
      <c r="L30" s="63">
        <f>L29+$K$23</f>
        <v>1050</v>
      </c>
    </row>
    <row r="31" spans="1:20" x14ac:dyDescent="0.25">
      <c r="B31" s="62" t="str">
        <f>Tabelle3!B13</f>
        <v>PBS 1500</v>
      </c>
      <c r="C31" s="9" t="b">
        <f>Tabelle3!C13</f>
        <v>0</v>
      </c>
      <c r="D31" s="63">
        <f>IF(C31=TRUE,Q21,0)</f>
        <v>0</v>
      </c>
      <c r="H31" s="62" t="s">
        <v>359</v>
      </c>
      <c r="I31" s="9" t="b">
        <f>Tabelle2!B49</f>
        <v>0</v>
      </c>
      <c r="J31" s="9">
        <f>J29+$L$23</f>
        <v>1625</v>
      </c>
      <c r="K31" s="9">
        <f>K29+$L$23</f>
        <v>1444</v>
      </c>
      <c r="L31" s="63">
        <f>L29+$L$23</f>
        <v>1300</v>
      </c>
    </row>
    <row r="32" spans="1:20" x14ac:dyDescent="0.25">
      <c r="B32" s="62" t="str">
        <f>Tabelle3!B14</f>
        <v>PBS 2000</v>
      </c>
      <c r="C32" s="9" t="b">
        <f>Tabelle3!C14</f>
        <v>0</v>
      </c>
      <c r="D32" s="63">
        <f>IF(C32=TRUE,S21,0)</f>
        <v>0</v>
      </c>
      <c r="H32" s="62" t="s">
        <v>360</v>
      </c>
      <c r="I32" s="9" t="b">
        <f>IF(OR(Tabelle2!B51=TRUE,Tabelle2!B53=TRUE),TRUE,FALSE)</f>
        <v>0</v>
      </c>
      <c r="J32" s="9">
        <v>1003</v>
      </c>
      <c r="K32" s="9">
        <v>890</v>
      </c>
      <c r="L32" s="63">
        <v>793</v>
      </c>
    </row>
    <row r="33" spans="2:18" x14ac:dyDescent="0.25">
      <c r="B33" s="62"/>
      <c r="C33" s="9"/>
      <c r="D33" s="63"/>
      <c r="H33" s="62" t="s">
        <v>361</v>
      </c>
      <c r="I33" s="9" t="b">
        <f>Tabelle2!B40</f>
        <v>0</v>
      </c>
      <c r="J33" s="9">
        <v>850</v>
      </c>
      <c r="K33" s="9">
        <v>737</v>
      </c>
      <c r="L33" s="63">
        <v>640</v>
      </c>
    </row>
    <row r="34" spans="2:18" x14ac:dyDescent="0.25">
      <c r="B34" s="65"/>
      <c r="C34" s="66"/>
      <c r="D34" s="67">
        <f>SUM(D25:D32)</f>
        <v>170</v>
      </c>
      <c r="H34" s="65"/>
      <c r="I34" s="66"/>
      <c r="J34" s="66"/>
      <c r="K34" s="66"/>
      <c r="L34" s="67"/>
    </row>
    <row r="35" spans="2:18" x14ac:dyDescent="0.25">
      <c r="G35" t="e">
        <f>IF(J39="",0,1)</f>
        <v>#VALUE!</v>
      </c>
      <c r="J35" s="62" t="e">
        <f>VLOOKUP(I24,I25:J33,2,0)</f>
        <v>#N/A</v>
      </c>
      <c r="K35" s="9" t="e">
        <f>VLOOKUP(I24,I25:K33,3,0)</f>
        <v>#N/A</v>
      </c>
      <c r="L35" s="63" t="e">
        <f>VLOOKUP(I24,I25:L33,4,0)</f>
        <v>#N/A</v>
      </c>
    </row>
    <row r="36" spans="2:18" x14ac:dyDescent="0.25">
      <c r="G36" t="e">
        <f>IF(K39="",0,1)</f>
        <v>#VALUE!</v>
      </c>
      <c r="J36" s="65" t="e">
        <f>D34+J35</f>
        <v>#N/A</v>
      </c>
      <c r="K36" s="66" t="e">
        <f>D34+K35</f>
        <v>#N/A</v>
      </c>
      <c r="L36" s="67" t="e">
        <f>D34+L35</f>
        <v>#N/A</v>
      </c>
    </row>
    <row r="37" spans="2:18" x14ac:dyDescent="0.25">
      <c r="G37" t="e">
        <f>IF(L39="",0,1)</f>
        <v>#VALUE!</v>
      </c>
      <c r="J37" s="60" t="e">
        <f>ROUND($J$23-J36,0)</f>
        <v>#VALUE!</v>
      </c>
      <c r="K37" s="61" t="e">
        <f>ROUND($J$23-K36,0)</f>
        <v>#VALUE!</v>
      </c>
      <c r="L37" s="61" t="e">
        <f>ROUND($J$23-L36,0)</f>
        <v>#VALUE!</v>
      </c>
    </row>
    <row r="38" spans="2:18" x14ac:dyDescent="0.25">
      <c r="F38" t="e">
        <f>IF(G39=3,L38,IF(G39=2,K38,""))</f>
        <v>#VALUE!</v>
      </c>
      <c r="I38" t="s">
        <v>363</v>
      </c>
      <c r="J38" s="62" t="e">
        <f>ROUND(IF(SIGN(J37)=-1,J37*-1,J37),0)</f>
        <v>#VALUE!</v>
      </c>
      <c r="K38" s="9" t="e">
        <f>ROUND(IF(SIGN(K37)=-1,K37*-1,K37),0)</f>
        <v>#VALUE!</v>
      </c>
      <c r="L38" s="63" t="e">
        <f>ROUND(IF(SIGN(L37)=-1,L37*-1,L37),0)</f>
        <v>#VALUE!</v>
      </c>
    </row>
    <row r="39" spans="2:18" x14ac:dyDescent="0.25">
      <c r="G39" t="e">
        <f>SUM(G35:G37)</f>
        <v>#VALUE!</v>
      </c>
      <c r="H39" t="s">
        <v>362</v>
      </c>
      <c r="J39" s="65" t="e">
        <f>IF(J37&lt; -0.001,J36,"")</f>
        <v>#VALUE!</v>
      </c>
      <c r="K39" s="66" t="e">
        <f>IF(K37&lt; -0.001,K36,"")</f>
        <v>#VALUE!</v>
      </c>
      <c r="L39" s="67" t="e">
        <f>IF(L37&lt; -0.001,L36,"")</f>
        <v>#VALUE!</v>
      </c>
      <c r="N39" t="s">
        <v>1089</v>
      </c>
      <c r="Q39" t="s">
        <v>1110</v>
      </c>
    </row>
    <row r="40" spans="2:18" x14ac:dyDescent="0.25">
      <c r="E40" t="e">
        <f>IF(F40="","",F40&amp;", nächstes Segment "&amp;F38)</f>
        <v>#VALUE!</v>
      </c>
      <c r="F40" t="e">
        <f>IF(G39=1,"um "&amp;J38,IF(G39=2,"um "&amp;J38,IF(G39=3,"um "&amp;J38,"")))</f>
        <v>#VALUE!</v>
      </c>
      <c r="N40" s="28" t="e">
        <f>VLOOKUP(ROUNDUP(H53,2),Q40:S166,2,0)</f>
        <v>#VALUE!</v>
      </c>
      <c r="O40" s="470"/>
      <c r="P40">
        <v>800</v>
      </c>
      <c r="Q40" s="443">
        <v>1.34</v>
      </c>
      <c r="R40" s="433">
        <v>1.5</v>
      </c>
    </row>
    <row r="41" spans="2:18" x14ac:dyDescent="0.25">
      <c r="H41" s="60" t="s">
        <v>209</v>
      </c>
      <c r="I41" s="38" t="s">
        <v>206</v>
      </c>
      <c r="J41" s="60" t="s">
        <v>209</v>
      </c>
      <c r="K41" s="38" t="s">
        <v>206</v>
      </c>
      <c r="L41" s="60" t="s">
        <v>209</v>
      </c>
      <c r="M41" s="61" t="s">
        <v>206</v>
      </c>
      <c r="N41" s="28" t="e">
        <f>VLOOKUP(ROUNDUP(H53,2),Q168:S562,2,0)</f>
        <v>#VALUE!</v>
      </c>
      <c r="O41" s="470"/>
      <c r="P41">
        <v>800</v>
      </c>
      <c r="Q41" s="443">
        <v>1.35</v>
      </c>
      <c r="R41" s="433">
        <v>1.5</v>
      </c>
    </row>
    <row r="42" spans="2:18" x14ac:dyDescent="0.25">
      <c r="F42">
        <f>Tabelle3!AC18</f>
        <v>-1000</v>
      </c>
      <c r="H42" s="62" t="e">
        <f>IF(J39="","",F42)</f>
        <v>#VALUE!</v>
      </c>
      <c r="I42" s="63" t="e">
        <f>$J$39</f>
        <v>#VALUE!</v>
      </c>
      <c r="J42" s="62" t="e">
        <f>IF(K39="","",F42)</f>
        <v>#VALUE!</v>
      </c>
      <c r="K42" s="63" t="e">
        <f>$K$39</f>
        <v>#VALUE!</v>
      </c>
      <c r="L42" s="62" t="e">
        <f>IF(L39="","",F42)</f>
        <v>#VALUE!</v>
      </c>
      <c r="M42" s="9" t="e">
        <f>$L$39</f>
        <v>#VALUE!</v>
      </c>
      <c r="N42" s="28" t="e">
        <f>IF(B53=TRUE,N40,IF(B54=TRUE,N41,IF(OR(B57=TRUE,B56=TRUE),H55,I56)))</f>
        <v>#VALUE!</v>
      </c>
      <c r="O42" s="470"/>
      <c r="P42">
        <v>800</v>
      </c>
      <c r="Q42" s="443">
        <v>1.36</v>
      </c>
      <c r="R42" s="433">
        <v>1.5</v>
      </c>
    </row>
    <row r="43" spans="2:18" x14ac:dyDescent="0.25">
      <c r="F43">
        <f>Tabelle3!AC19+250</f>
        <v>900</v>
      </c>
      <c r="H43" s="65" t="e">
        <f>IF(J39="","",F43)</f>
        <v>#VALUE!</v>
      </c>
      <c r="I43" s="67" t="e">
        <f>$J$39</f>
        <v>#VALUE!</v>
      </c>
      <c r="J43" s="65" t="e">
        <f>IF(K39="","",F43)</f>
        <v>#VALUE!</v>
      </c>
      <c r="K43" s="67" t="e">
        <f>$K$39</f>
        <v>#VALUE!</v>
      </c>
      <c r="L43" s="65" t="e">
        <f>IF(L39="","",F43)</f>
        <v>#VALUE!</v>
      </c>
      <c r="M43" s="67" t="e">
        <f>$L$39</f>
        <v>#VALUE!</v>
      </c>
      <c r="P43">
        <v>800</v>
      </c>
      <c r="Q43" s="443">
        <v>1.37</v>
      </c>
      <c r="R43" s="433">
        <v>1.5</v>
      </c>
    </row>
    <row r="44" spans="2:18" x14ac:dyDescent="0.25">
      <c r="P44">
        <v>800</v>
      </c>
      <c r="Q44" s="443">
        <v>1.38</v>
      </c>
      <c r="R44" s="433">
        <v>1.5</v>
      </c>
    </row>
    <row r="45" spans="2:18" x14ac:dyDescent="0.25">
      <c r="P45">
        <v>800</v>
      </c>
      <c r="Q45" s="443">
        <v>1.39</v>
      </c>
      <c r="R45" s="433">
        <v>1.5</v>
      </c>
    </row>
    <row r="46" spans="2:18" x14ac:dyDescent="0.25">
      <c r="B46" s="28" t="str">
        <f>Sprachen!E328</f>
        <v>senza raccordi</v>
      </c>
      <c r="C46" s="28" t="e">
        <f>IF(D46=TRUE,B46,IF(D46=FALSE,Sprachen!E314,""))</f>
        <v>#VALUE!</v>
      </c>
      <c r="D46" s="28" t="e">
        <f>IF(E46="",TRUE,FALSE)</f>
        <v>#VALUE!</v>
      </c>
      <c r="E46" s="213" t="e">
        <f>IF(L39="","",Sprachen!E209&amp;L38&amp;Sprachen!F209)</f>
        <v>#VALUE!</v>
      </c>
      <c r="P46">
        <v>800</v>
      </c>
      <c r="Q46" s="443">
        <v>1.4</v>
      </c>
      <c r="R46" s="433">
        <v>1.5</v>
      </c>
    </row>
    <row r="47" spans="2:18" x14ac:dyDescent="0.25">
      <c r="B47" s="28" t="str">
        <f>Sprachen!E329</f>
        <v>Valvola di non ritorno all'interno</v>
      </c>
      <c r="C47" s="28" t="e">
        <f>IF(D47,B47,"")</f>
        <v>#VALUE!</v>
      </c>
      <c r="D47" s="28" t="e">
        <f>IF(E47="",TRUE,FALSE)</f>
        <v>#VALUE!</v>
      </c>
      <c r="E47" s="213" t="e">
        <f>IF(K39="","",Sprachen!E210&amp;K38+Schachtselector!C180&amp;Sprachen!F210)</f>
        <v>#VALUE!</v>
      </c>
      <c r="P47">
        <v>800</v>
      </c>
      <c r="Q47" s="443">
        <v>1.41</v>
      </c>
      <c r="R47" s="433">
        <v>1.5</v>
      </c>
    </row>
    <row r="48" spans="2:18" x14ac:dyDescent="0.25">
      <c r="B48" s="28" t="str">
        <f>Sprachen!E330</f>
        <v>Raccordi all'interno</v>
      </c>
      <c r="C48" s="28" t="e">
        <f>IF(D48,B48,"")</f>
        <v>#VALUE!</v>
      </c>
      <c r="D48" s="28" t="e">
        <f>IF(E48="",TRUE,FALSE)</f>
        <v>#VALUE!</v>
      </c>
      <c r="E48" s="213" t="e">
        <f>IF(J39="","",Sprachen!E211&amp;J38+Schachtselector!C180&amp;Sprachen!F211)</f>
        <v>#VALUE!</v>
      </c>
      <c r="H48" s="23"/>
      <c r="P48">
        <v>800</v>
      </c>
      <c r="Q48" s="443">
        <v>1.42</v>
      </c>
      <c r="R48" s="433">
        <v>1.5</v>
      </c>
    </row>
    <row r="49" spans="1:18" x14ac:dyDescent="0.25">
      <c r="P49">
        <v>800</v>
      </c>
      <c r="Q49" s="443">
        <v>1.43</v>
      </c>
      <c r="R49" s="433">
        <v>1.5</v>
      </c>
    </row>
    <row r="50" spans="1:18" x14ac:dyDescent="0.25">
      <c r="A50" t="s">
        <v>961</v>
      </c>
      <c r="G50" t="s">
        <v>1081</v>
      </c>
      <c r="P50">
        <v>800</v>
      </c>
      <c r="Q50" s="443">
        <v>1.44</v>
      </c>
      <c r="R50" s="433">
        <v>1.5</v>
      </c>
    </row>
    <row r="51" spans="1:18" x14ac:dyDescent="0.25">
      <c r="A51" t="s">
        <v>1101</v>
      </c>
      <c r="B51" t="b">
        <f>IF(OR(B53=TRUE,B54=TRUE,B55=TRUE,B56=TRUE,B57=TRUE),TRUE,FALSE)</f>
        <v>1</v>
      </c>
      <c r="D51" t="s">
        <v>1642</v>
      </c>
      <c r="G51" t="s">
        <v>1324</v>
      </c>
      <c r="H51" s="382" t="str">
        <f>IFERROR(C60&amp;N42&amp;"_"&amp;H95&amp;G53&amp;Tabelle3!BB52,"Nicht vorhanden")</f>
        <v>Nicht vorhanden</v>
      </c>
      <c r="P51">
        <v>800</v>
      </c>
      <c r="Q51" s="443">
        <v>1.45</v>
      </c>
      <c r="R51" s="433">
        <v>1.5</v>
      </c>
    </row>
    <row r="52" spans="1:18" x14ac:dyDescent="0.25">
      <c r="A52" t="str">
        <f>Tabelle3!B7</f>
        <v>FPS 600</v>
      </c>
      <c r="B52" t="b">
        <f>Tabelle3!C7</f>
        <v>0</v>
      </c>
      <c r="C52" t="s">
        <v>1102</v>
      </c>
      <c r="F52" t="s">
        <v>1090</v>
      </c>
      <c r="G52" t="s">
        <v>1082</v>
      </c>
      <c r="P52">
        <v>800</v>
      </c>
      <c r="Q52" s="443">
        <v>1.46</v>
      </c>
      <c r="R52" s="433">
        <v>1.5</v>
      </c>
    </row>
    <row r="53" spans="1:18" x14ac:dyDescent="0.25">
      <c r="A53" t="str">
        <f>Tabelle3!B8</f>
        <v xml:space="preserve"> FPS DN 800</v>
      </c>
      <c r="B53" t="b">
        <f>Tabelle3!C8</f>
        <v>0</v>
      </c>
      <c r="C53" t="s">
        <v>1103</v>
      </c>
      <c r="E53" s="28">
        <v>11</v>
      </c>
      <c r="F53" s="28" t="b">
        <f>Tabelle2!A28</f>
        <v>0</v>
      </c>
      <c r="G53" s="28" t="str">
        <f>IF(OR(B53=TRUE,B54=TRUE),IF(F53=TRUE,"_BF_11","_BF_12"),"")</f>
        <v>_BF_12</v>
      </c>
      <c r="H53" s="398" t="e">
        <f>IF(OR(B54=TRUE,B53=TRUE),H55/1000,I55)</f>
        <v>#VALUE!</v>
      </c>
      <c r="P53">
        <v>800</v>
      </c>
      <c r="Q53" s="443">
        <v>1.47</v>
      </c>
      <c r="R53" s="433">
        <v>1.5</v>
      </c>
    </row>
    <row r="54" spans="1:18" ht="15.75" thickBot="1" x14ac:dyDescent="0.3">
      <c r="A54" t="str">
        <f>Tabelle3!B9</f>
        <v xml:space="preserve"> FPS DN 1000</v>
      </c>
      <c r="B54" t="b">
        <f>Tabelle3!C9</f>
        <v>1</v>
      </c>
      <c r="C54" t="s">
        <v>1104</v>
      </c>
      <c r="E54" s="28">
        <v>12</v>
      </c>
      <c r="F54" s="28" t="b">
        <f>Tabelle2!A29</f>
        <v>0</v>
      </c>
      <c r="G54" s="28"/>
      <c r="I54" t="s">
        <v>1098</v>
      </c>
      <c r="M54" s="432" t="s">
        <v>1904</v>
      </c>
      <c r="P54">
        <v>800</v>
      </c>
      <c r="Q54" s="443">
        <v>1.48</v>
      </c>
      <c r="R54" s="433">
        <v>1.5</v>
      </c>
    </row>
    <row r="55" spans="1:18" ht="15.75" thickBot="1" x14ac:dyDescent="0.3">
      <c r="A55" t="str">
        <f>Tabelle3!B10</f>
        <v>NSK DN 1250</v>
      </c>
      <c r="B55" t="b">
        <f>Tabelle3!C10</f>
        <v>0</v>
      </c>
      <c r="C55" t="s">
        <v>1105</v>
      </c>
      <c r="D55" t="str">
        <f>IF(B55=TRUE,"_600","")</f>
        <v/>
      </c>
      <c r="E55" s="28" t="s">
        <v>1112</v>
      </c>
      <c r="F55" s="28" t="b">
        <f>Tabelle2!$Q$91</f>
        <v>0</v>
      </c>
      <c r="G55" s="370" t="str">
        <f>IF(F55=TRUE,"_2P","_1P")</f>
        <v>_1P</v>
      </c>
      <c r="H55" s="447" t="e">
        <f>IF(OR(B54=TRUE,B53=TRUE),H58,I58)</f>
        <v>#VALUE!</v>
      </c>
      <c r="I55" s="444" t="e">
        <f>IF(OR(A58=TRUE,A59=TRUE),ROUNDUP((H56)/250,0)*250+100,H55)</f>
        <v>#VALUE!</v>
      </c>
      <c r="P55">
        <v>800</v>
      </c>
      <c r="Q55" s="443">
        <v>1.49</v>
      </c>
      <c r="R55" s="433">
        <v>1.5</v>
      </c>
    </row>
    <row r="56" spans="1:18" x14ac:dyDescent="0.25">
      <c r="A56" t="str">
        <f>Tabelle3!B11</f>
        <v>NSZ  DN 1250</v>
      </c>
      <c r="B56" t="b">
        <f>Tabelle3!C11</f>
        <v>0</v>
      </c>
      <c r="C56" t="s">
        <v>1106</v>
      </c>
      <c r="D56" t="str">
        <f>IF(Tabelle3!BD55=TRUE,"_600",IF(Tabelle3!BE55=TRUE,"_800",""))</f>
        <v/>
      </c>
      <c r="E56" s="28"/>
      <c r="F56" s="28"/>
      <c r="G56" s="28"/>
      <c r="H56">
        <f>IF(Tabelle3!AW10=TRUE,Tabelle3!AY10,IF(Tabelle3!AW11=TRUE,Tabelle3!AY11,0))</f>
        <v>0</v>
      </c>
      <c r="I56" s="28" t="e">
        <f>IF(OR(B58=TRUE,B59=TRUE),ROUNDUP(H55/250,0)*250,H55)</f>
        <v>#VALUE!</v>
      </c>
      <c r="K56" t="e">
        <f>H55/250</f>
        <v>#VALUE!</v>
      </c>
      <c r="M56" s="432" t="str">
        <f>M49&amp;N56</f>
        <v/>
      </c>
      <c r="P56">
        <v>800</v>
      </c>
      <c r="Q56" s="443">
        <v>1.5</v>
      </c>
      <c r="R56" s="433">
        <v>1.5</v>
      </c>
    </row>
    <row r="57" spans="1:18" x14ac:dyDescent="0.25">
      <c r="A57" t="str">
        <f>Tabelle3!B12</f>
        <v>NSZD DN 1250</v>
      </c>
      <c r="B57" t="b">
        <f>Tabelle3!C12</f>
        <v>0</v>
      </c>
      <c r="C57" t="s">
        <v>1107</v>
      </c>
      <c r="D57" t="str">
        <f>IF(Tabelle3!BD56=TRUE,"_600",IF(Tabelle3!BE56=TRUE,"_800",""))</f>
        <v/>
      </c>
      <c r="H57" t="s">
        <v>1088</v>
      </c>
      <c r="I57" t="s">
        <v>1087</v>
      </c>
      <c r="M57" s="432" t="s">
        <v>1905</v>
      </c>
      <c r="P57">
        <v>800</v>
      </c>
      <c r="Q57" s="443">
        <v>1.51</v>
      </c>
      <c r="R57" s="433">
        <v>1.5</v>
      </c>
    </row>
    <row r="58" spans="1:18" x14ac:dyDescent="0.25">
      <c r="A58" t="str">
        <f>Tabelle3!B13</f>
        <v>PBS 1500</v>
      </c>
      <c r="B58" t="b">
        <f>Tabelle3!C13</f>
        <v>0</v>
      </c>
      <c r="C58" t="s">
        <v>1108</v>
      </c>
      <c r="D58" t="str">
        <f>IF(Tabelle3!BD57=TRUE,"_600",IF(Tabelle3!BE57=TRUE,"_800",""))</f>
        <v/>
      </c>
      <c r="H58" s="71" t="e">
        <f>Tabelle3!$N$23</f>
        <v>#VALUE!</v>
      </c>
      <c r="I58" s="71" t="e">
        <f>Tabelle3!$N$58</f>
        <v>#VALUE!</v>
      </c>
      <c r="P58">
        <v>800</v>
      </c>
      <c r="Q58" s="443">
        <v>1.52</v>
      </c>
      <c r="R58" s="433">
        <v>1.5</v>
      </c>
    </row>
    <row r="59" spans="1:18" x14ac:dyDescent="0.25">
      <c r="A59" t="str">
        <f>Tabelle3!B14</f>
        <v>PBS 2000</v>
      </c>
      <c r="B59" t="b">
        <f>Tabelle3!C14</f>
        <v>0</v>
      </c>
      <c r="C59" t="s">
        <v>1109</v>
      </c>
      <c r="D59" t="str">
        <f>IF(Tabelle3!BD58=TRUE,"_600",IF(Tabelle3!BE58=TRUE,"_800",""))</f>
        <v/>
      </c>
      <c r="H59" t="str">
        <f>IF(OR(B53=TRUE,B54=TRUE),H51,H60)</f>
        <v>Nicht vorhanden</v>
      </c>
      <c r="P59">
        <v>800</v>
      </c>
      <c r="Q59" s="443">
        <v>1.53</v>
      </c>
      <c r="R59" s="433">
        <v>1.5</v>
      </c>
    </row>
    <row r="60" spans="1:18" x14ac:dyDescent="0.25">
      <c r="B60" t="b">
        <v>1</v>
      </c>
      <c r="C60" t="str">
        <f>VLOOKUP(B60,B52:C59,2,0)</f>
        <v>FPS_1000_</v>
      </c>
      <c r="D60">
        <f>VLOOKUP(B60,B52:D59,3,0)</f>
        <v>0</v>
      </c>
      <c r="G60" t="s">
        <v>1323</v>
      </c>
      <c r="H60" s="382" t="str">
        <f>IFERROR(C60&amp;N42&amp;"_"&amp;G97&amp;D60&amp;G55,"Nicht vorhanden")</f>
        <v>Nicht vorhanden</v>
      </c>
      <c r="P60">
        <v>800</v>
      </c>
      <c r="Q60" s="443">
        <v>1.54</v>
      </c>
      <c r="R60" s="433">
        <v>1.5</v>
      </c>
    </row>
    <row r="61" spans="1:18" x14ac:dyDescent="0.25">
      <c r="K61" s="435" t="s">
        <v>1095</v>
      </c>
      <c r="L61" s="436" t="str">
        <f>IFERROR(VLOOKUP(H59,$K$64:$N$769,2,0),Sprachen!E267)</f>
        <v>non disponibile</v>
      </c>
      <c r="M61" s="442" t="str">
        <f>IFERROR(HYPERLINK(VLOOKUP($H$59,$K$64:$N$769,3,0)),"")</f>
        <v/>
      </c>
      <c r="N61" s="436" t="str">
        <f>IFERROR(VLOOKUP($H$59,$K$64:$N$769,4,0),"")</f>
        <v/>
      </c>
      <c r="P61">
        <v>800</v>
      </c>
      <c r="Q61" s="443">
        <v>1.55</v>
      </c>
      <c r="R61" s="433">
        <v>1.5</v>
      </c>
    </row>
    <row r="62" spans="1:18" x14ac:dyDescent="0.25">
      <c r="D62" t="s">
        <v>1026</v>
      </c>
      <c r="E62" t="s">
        <v>1045</v>
      </c>
      <c r="K62" s="430" t="s">
        <v>962</v>
      </c>
      <c r="L62" s="437" t="s">
        <v>963</v>
      </c>
      <c r="M62" s="437" t="s">
        <v>1096</v>
      </c>
      <c r="N62" s="437" t="s">
        <v>1097</v>
      </c>
      <c r="O62" s="471" t="s">
        <v>1326</v>
      </c>
      <c r="P62">
        <v>800</v>
      </c>
      <c r="Q62" s="443">
        <v>1.56</v>
      </c>
      <c r="R62" s="433">
        <v>1.5</v>
      </c>
    </row>
    <row r="63" spans="1:18" x14ac:dyDescent="0.25">
      <c r="C63" t="s">
        <v>58</v>
      </c>
      <c r="H63" t="s">
        <v>1650</v>
      </c>
      <c r="I63" t="s">
        <v>1651</v>
      </c>
      <c r="K63" s="431"/>
      <c r="L63" s="28"/>
      <c r="M63" s="28"/>
      <c r="N63" s="28"/>
      <c r="O63" s="472" t="s">
        <v>1325</v>
      </c>
      <c r="P63">
        <v>800</v>
      </c>
      <c r="Q63" s="443">
        <v>1.57</v>
      </c>
      <c r="R63" s="433">
        <v>1.5</v>
      </c>
    </row>
    <row r="64" spans="1:18" x14ac:dyDescent="0.25">
      <c r="A64" t="b">
        <f t="shared" ref="A64:A75" si="0">C64</f>
        <v>0</v>
      </c>
      <c r="B64" t="s">
        <v>58</v>
      </c>
      <c r="C64" t="b">
        <f>Tabelle2!B32</f>
        <v>0</v>
      </c>
      <c r="D64" t="s">
        <v>59</v>
      </c>
      <c r="E64" t="b">
        <f t="shared" ref="E64:E75" si="1">C64</f>
        <v>0</v>
      </c>
      <c r="F64">
        <f>IF(C64=TRUE,1,0)</f>
        <v>0</v>
      </c>
      <c r="G64">
        <v>63</v>
      </c>
      <c r="H64">
        <f>IF($F$53=TRUE,0,50)</f>
        <v>50</v>
      </c>
      <c r="I64">
        <f>IF($F$53=TRUE,0,50)</f>
        <v>50</v>
      </c>
      <c r="K64" s="382" t="s">
        <v>1328</v>
      </c>
      <c r="L64" s="434" t="s">
        <v>964</v>
      </c>
      <c r="M64" s="432" t="str">
        <f>$M$57&amp;N64</f>
        <v>http://www.biral.ch/fileadmin/Media/images/Planungstools/PumpStationSelector_DWG/FPS_1000_1.75_90_BF_11_F1</v>
      </c>
      <c r="N64" s="382" t="s">
        <v>1209</v>
      </c>
      <c r="O64" s="473" t="s">
        <v>1327</v>
      </c>
      <c r="P64">
        <v>800</v>
      </c>
      <c r="Q64" s="443">
        <v>1.58</v>
      </c>
      <c r="R64" s="433">
        <v>1.5</v>
      </c>
    </row>
    <row r="65" spans="1:18" x14ac:dyDescent="0.25">
      <c r="A65" t="b">
        <f t="shared" si="0"/>
        <v>0</v>
      </c>
      <c r="B65" t="s">
        <v>58</v>
      </c>
      <c r="C65" t="b">
        <f>Tabelle2!B33</f>
        <v>0</v>
      </c>
      <c r="D65" t="s">
        <v>60</v>
      </c>
      <c r="E65" t="b">
        <f t="shared" si="1"/>
        <v>0</v>
      </c>
      <c r="F65">
        <f>IF(C65=TRUE,1,0)</f>
        <v>0</v>
      </c>
      <c r="G65">
        <v>63</v>
      </c>
      <c r="H65">
        <f t="shared" ref="H65:I67" si="2">IF($F$53=TRUE,0,50)</f>
        <v>50</v>
      </c>
      <c r="I65">
        <f t="shared" si="2"/>
        <v>50</v>
      </c>
      <c r="K65" s="382" t="s">
        <v>1329</v>
      </c>
      <c r="L65" s="383" t="s">
        <v>965</v>
      </c>
      <c r="M65" s="432" t="str">
        <f t="shared" ref="M65:M128" si="3">$M$57&amp;N65</f>
        <v>http://www.biral.ch/fileadmin/Media/images/Planungstools/PumpStationSelector_DWG/FPS_1000_2.0_90_BF_11_F1</v>
      </c>
      <c r="N65" s="382" t="s">
        <v>1210</v>
      </c>
      <c r="O65" s="473" t="s">
        <v>1327</v>
      </c>
      <c r="P65">
        <v>800</v>
      </c>
      <c r="Q65" s="443">
        <v>1.59</v>
      </c>
      <c r="R65" s="433">
        <v>1.5</v>
      </c>
    </row>
    <row r="66" spans="1:18" x14ac:dyDescent="0.25">
      <c r="A66" t="b">
        <f t="shared" si="0"/>
        <v>0</v>
      </c>
      <c r="B66" t="s">
        <v>58</v>
      </c>
      <c r="C66" t="b">
        <f>Tabelle2!B34</f>
        <v>0</v>
      </c>
      <c r="D66" t="s">
        <v>61</v>
      </c>
      <c r="E66" t="b">
        <f t="shared" si="1"/>
        <v>0</v>
      </c>
      <c r="F66">
        <f>IF(C66=TRUE,1,0)</f>
        <v>0</v>
      </c>
      <c r="G66">
        <v>63</v>
      </c>
      <c r="H66">
        <f t="shared" si="2"/>
        <v>50</v>
      </c>
      <c r="I66">
        <f t="shared" si="2"/>
        <v>50</v>
      </c>
      <c r="K66" s="382" t="s">
        <v>1330</v>
      </c>
      <c r="L66" s="383" t="s">
        <v>966</v>
      </c>
      <c r="M66" s="432" t="str">
        <f t="shared" si="3"/>
        <v>http://www.biral.ch/fileadmin/Media/images/Planungstools/PumpStationSelector_DWG/FPS_1000_2.25_90_BF_11_F1</v>
      </c>
      <c r="N66" s="382" t="s">
        <v>1211</v>
      </c>
      <c r="O66" s="473" t="s">
        <v>1327</v>
      </c>
      <c r="P66">
        <v>800</v>
      </c>
      <c r="Q66" s="443">
        <v>1.6</v>
      </c>
      <c r="R66" s="433" t="s">
        <v>1093</v>
      </c>
    </row>
    <row r="67" spans="1:18" x14ac:dyDescent="0.25">
      <c r="A67" t="b">
        <f t="shared" si="0"/>
        <v>0</v>
      </c>
      <c r="B67" t="s">
        <v>58</v>
      </c>
      <c r="C67" t="b">
        <f>Tabelle2!B35</f>
        <v>0</v>
      </c>
      <c r="D67" t="s">
        <v>62</v>
      </c>
      <c r="E67" t="b">
        <f t="shared" si="1"/>
        <v>0</v>
      </c>
      <c r="F67">
        <f>IF(C67=TRUE,1,0)</f>
        <v>0</v>
      </c>
      <c r="G67">
        <v>63</v>
      </c>
      <c r="H67">
        <f t="shared" si="2"/>
        <v>50</v>
      </c>
      <c r="I67">
        <f t="shared" si="2"/>
        <v>50</v>
      </c>
      <c r="K67" s="382" t="s">
        <v>1331</v>
      </c>
      <c r="L67" s="383" t="s">
        <v>967</v>
      </c>
      <c r="M67" s="432" t="str">
        <f t="shared" si="3"/>
        <v>http://www.biral.ch/fileadmin/Media/images/Planungstools/PumpStationSelector_DWG/FPS_1000_2.5_90_BF_11_F1</v>
      </c>
      <c r="N67" s="382" t="s">
        <v>1212</v>
      </c>
      <c r="O67" s="473" t="s">
        <v>1327</v>
      </c>
      <c r="P67">
        <v>800</v>
      </c>
      <c r="Q67" s="443">
        <v>1.61</v>
      </c>
      <c r="R67" s="433" t="s">
        <v>1093</v>
      </c>
    </row>
    <row r="68" spans="1:18" x14ac:dyDescent="0.25">
      <c r="A68">
        <f t="shared" si="0"/>
        <v>0</v>
      </c>
      <c r="B68" t="s">
        <v>69</v>
      </c>
      <c r="D68" t="s">
        <v>69</v>
      </c>
      <c r="E68">
        <f t="shared" si="1"/>
        <v>0</v>
      </c>
      <c r="K68" s="382" t="s">
        <v>1332</v>
      </c>
      <c r="L68" s="383" t="s">
        <v>968</v>
      </c>
      <c r="M68" s="432" t="str">
        <f t="shared" si="3"/>
        <v>http://www.biral.ch/fileadmin/Media/images/Planungstools/PumpStationSelector_DWG/FPS_1000_2.75_90_BF_11_F1</v>
      </c>
      <c r="N68" s="382" t="s">
        <v>1213</v>
      </c>
      <c r="O68" s="473" t="s">
        <v>1327</v>
      </c>
      <c r="P68">
        <v>800</v>
      </c>
      <c r="Q68" s="443">
        <v>1.62</v>
      </c>
      <c r="R68" s="433" t="s">
        <v>1093</v>
      </c>
    </row>
    <row r="69" spans="1:18" x14ac:dyDescent="0.25">
      <c r="A69" t="b">
        <f t="shared" si="0"/>
        <v>0</v>
      </c>
      <c r="B69" t="s">
        <v>1083</v>
      </c>
      <c r="C69" t="b">
        <f>Tabelle2!B37</f>
        <v>0</v>
      </c>
      <c r="D69" t="s">
        <v>352</v>
      </c>
      <c r="E69" t="b">
        <f t="shared" si="1"/>
        <v>0</v>
      </c>
      <c r="F69">
        <f>IF(C69=TRUE,1,0)</f>
        <v>0</v>
      </c>
      <c r="G69">
        <v>63</v>
      </c>
      <c r="H69">
        <f>IF($F$53=TRUE,75,50)</f>
        <v>50</v>
      </c>
      <c r="I69">
        <f>IF($F$53=TRUE,75,50)</f>
        <v>50</v>
      </c>
      <c r="K69" s="382" t="s">
        <v>1333</v>
      </c>
      <c r="L69" s="383" t="s">
        <v>969</v>
      </c>
      <c r="M69" s="432" t="str">
        <f t="shared" si="3"/>
        <v>http://www.biral.ch/fileadmin/Media/images/Planungstools/PumpStationSelector_DWG/FPS_1000_3.0_90_BF_11_F1</v>
      </c>
      <c r="N69" s="382" t="s">
        <v>1214</v>
      </c>
      <c r="O69" s="473" t="s">
        <v>1327</v>
      </c>
      <c r="P69">
        <v>800</v>
      </c>
      <c r="Q69" s="443">
        <v>1.63</v>
      </c>
      <c r="R69" s="433" t="s">
        <v>1093</v>
      </c>
    </row>
    <row r="70" spans="1:18" x14ac:dyDescent="0.25">
      <c r="K70" s="382" t="s">
        <v>1334</v>
      </c>
      <c r="L70" s="383" t="s">
        <v>970</v>
      </c>
      <c r="M70" s="432" t="str">
        <f t="shared" si="3"/>
        <v>http://www.biral.ch/fileadmin/Media/images/Planungstools/PumpStationSelector_DWG/FPS_1000_3.25_90_BF_11_F1</v>
      </c>
      <c r="N70" s="382" t="s">
        <v>1215</v>
      </c>
      <c r="O70" s="473" t="s">
        <v>1327</v>
      </c>
      <c r="P70">
        <v>800</v>
      </c>
      <c r="Q70" s="443">
        <v>1.64</v>
      </c>
      <c r="R70" s="433" t="s">
        <v>1093</v>
      </c>
    </row>
    <row r="71" spans="1:18" x14ac:dyDescent="0.25">
      <c r="A71">
        <f t="shared" si="0"/>
        <v>0</v>
      </c>
      <c r="B71" t="s">
        <v>354</v>
      </c>
      <c r="D71" t="s">
        <v>56</v>
      </c>
      <c r="E71">
        <f t="shared" si="1"/>
        <v>0</v>
      </c>
      <c r="K71" s="382" t="s">
        <v>1335</v>
      </c>
      <c r="L71" s="383" t="s">
        <v>971</v>
      </c>
      <c r="M71" s="432" t="str">
        <f t="shared" si="3"/>
        <v>http://www.biral.ch/fileadmin/Media/images/Planungstools/PumpStationSelector_DWG/FPS_1000_3.5_90_BF_11_F1</v>
      </c>
      <c r="N71" s="382" t="s">
        <v>1216</v>
      </c>
      <c r="O71" s="473" t="s">
        <v>1327</v>
      </c>
      <c r="P71">
        <v>800</v>
      </c>
      <c r="Q71" s="443">
        <v>1.65</v>
      </c>
      <c r="R71" s="433" t="s">
        <v>1093</v>
      </c>
    </row>
    <row r="72" spans="1:18" x14ac:dyDescent="0.25">
      <c r="A72" t="b">
        <f t="shared" si="0"/>
        <v>0</v>
      </c>
      <c r="B72" t="s">
        <v>1181</v>
      </c>
      <c r="C72" t="b">
        <f>Tabelle2!B40</f>
        <v>0</v>
      </c>
      <c r="D72" t="s">
        <v>1077</v>
      </c>
      <c r="E72" t="b">
        <f t="shared" si="1"/>
        <v>0</v>
      </c>
      <c r="F72">
        <f>IF(C72=TRUE,1,0)</f>
        <v>0</v>
      </c>
      <c r="G72">
        <v>63</v>
      </c>
      <c r="H72">
        <f t="shared" ref="H72" si="4">IF($F$53=TRUE,0,50)</f>
        <v>50</v>
      </c>
      <c r="I72">
        <v>75</v>
      </c>
      <c r="K72" s="382" t="s">
        <v>1336</v>
      </c>
      <c r="L72" s="383" t="s">
        <v>972</v>
      </c>
      <c r="M72" s="432" t="str">
        <f t="shared" si="3"/>
        <v>http://www.biral.ch/fileadmin/Media/images/Planungstools/PumpStationSelector_DWG/FPS_1000_3.75_90_BF_11_F1</v>
      </c>
      <c r="N72" s="382" t="s">
        <v>1217</v>
      </c>
      <c r="O72" s="473" t="s">
        <v>1327</v>
      </c>
      <c r="P72">
        <v>800</v>
      </c>
      <c r="Q72" s="443">
        <v>1.66</v>
      </c>
      <c r="R72" s="433" t="s">
        <v>1093</v>
      </c>
    </row>
    <row r="73" spans="1:18" x14ac:dyDescent="0.25">
      <c r="A73">
        <f t="shared" si="0"/>
        <v>0</v>
      </c>
      <c r="B73" t="s">
        <v>70</v>
      </c>
      <c r="D73" t="s">
        <v>70</v>
      </c>
      <c r="E73">
        <f t="shared" si="1"/>
        <v>0</v>
      </c>
      <c r="K73" s="382" t="s">
        <v>1337</v>
      </c>
      <c r="L73" s="383" t="s">
        <v>973</v>
      </c>
      <c r="M73" s="432" t="str">
        <f t="shared" si="3"/>
        <v>http://www.biral.ch/fileadmin/Media/images/Planungstools/PumpStationSelector_DWG/FPS_1000_4.0_90_BF_11_F1</v>
      </c>
      <c r="N73" s="382" t="s">
        <v>1218</v>
      </c>
      <c r="O73" s="473" t="s">
        <v>1327</v>
      </c>
      <c r="P73">
        <v>800</v>
      </c>
      <c r="Q73" s="443">
        <v>1.67</v>
      </c>
      <c r="R73" s="433" t="s">
        <v>1093</v>
      </c>
    </row>
    <row r="74" spans="1:18" x14ac:dyDescent="0.25">
      <c r="A74" t="b">
        <f t="shared" si="0"/>
        <v>0</v>
      </c>
      <c r="B74" t="s">
        <v>70</v>
      </c>
      <c r="C74" t="b">
        <f>Tabelle2!B42</f>
        <v>0</v>
      </c>
      <c r="D74" t="s">
        <v>63</v>
      </c>
      <c r="E74" t="b">
        <f t="shared" si="1"/>
        <v>0</v>
      </c>
      <c r="F74">
        <f>IF(C74=TRUE,1,0)</f>
        <v>0</v>
      </c>
      <c r="G74">
        <v>63</v>
      </c>
      <c r="H74">
        <f t="shared" ref="H74" si="5">IF($F$53=TRUE,0,50)</f>
        <v>50</v>
      </c>
      <c r="I74">
        <v>75</v>
      </c>
      <c r="K74" s="382" t="s">
        <v>1338</v>
      </c>
      <c r="L74" s="383" t="s">
        <v>974</v>
      </c>
      <c r="M74" s="432" t="str">
        <f t="shared" si="3"/>
        <v>http://www.biral.ch/fileadmin/Media/images/Planungstools/PumpStationSelector_DWG/FPS_1000_4.25_90_BF_11_F1</v>
      </c>
      <c r="N74" s="382" t="s">
        <v>1219</v>
      </c>
      <c r="O74" s="473" t="s">
        <v>1327</v>
      </c>
      <c r="P74">
        <v>800</v>
      </c>
      <c r="Q74" s="443">
        <v>1.68</v>
      </c>
      <c r="R74" s="433" t="s">
        <v>1093</v>
      </c>
    </row>
    <row r="75" spans="1:18" x14ac:dyDescent="0.25">
      <c r="A75">
        <f t="shared" si="0"/>
        <v>0</v>
      </c>
      <c r="B75" t="s">
        <v>1027</v>
      </c>
      <c r="D75" t="s">
        <v>1027</v>
      </c>
      <c r="E75">
        <f t="shared" si="1"/>
        <v>0</v>
      </c>
      <c r="F75">
        <f>IF(SUM(F64:F74)&gt;0.1,50,0)</f>
        <v>0</v>
      </c>
      <c r="K75" s="382" t="s">
        <v>1339</v>
      </c>
      <c r="L75" s="383" t="s">
        <v>975</v>
      </c>
      <c r="M75" s="432" t="str">
        <f t="shared" si="3"/>
        <v>http://www.biral.ch/fileadmin/Media/images/Planungstools/PumpStationSelector_DWG/FPS_1000_4.5_90_BF_11_F1</v>
      </c>
      <c r="N75" s="382" t="s">
        <v>1220</v>
      </c>
      <c r="O75" s="473" t="s">
        <v>1327</v>
      </c>
      <c r="P75">
        <v>800</v>
      </c>
      <c r="Q75" s="443">
        <v>1.69</v>
      </c>
      <c r="R75" s="433" t="s">
        <v>1093</v>
      </c>
    </row>
    <row r="76" spans="1:18" x14ac:dyDescent="0.25">
      <c r="K76" s="382" t="s">
        <v>1340</v>
      </c>
      <c r="L76" s="383" t="s">
        <v>976</v>
      </c>
      <c r="M76" s="432" t="str">
        <f t="shared" si="3"/>
        <v>http://www.biral.ch/fileadmin/Media/images/Planungstools/PumpStationSelector_DWG/FPS_1000_4.75_90_BF_11_F1</v>
      </c>
      <c r="N76" s="382" t="s">
        <v>1221</v>
      </c>
      <c r="O76" s="473" t="s">
        <v>1327</v>
      </c>
      <c r="P76">
        <v>800</v>
      </c>
      <c r="Q76" s="443">
        <v>1.7</v>
      </c>
      <c r="R76" s="433" t="s">
        <v>1093</v>
      </c>
    </row>
    <row r="77" spans="1:18" x14ac:dyDescent="0.25">
      <c r="K77" s="382" t="s">
        <v>1341</v>
      </c>
      <c r="L77" s="383" t="s">
        <v>977</v>
      </c>
      <c r="M77" s="432" t="str">
        <f t="shared" si="3"/>
        <v>http://www.biral.ch/fileadmin/Media/images/Planungstools/PumpStationSelector_DWG/FPS_1000_5.0_90_BF_11_F1</v>
      </c>
      <c r="N77" s="382" t="s">
        <v>1222</v>
      </c>
      <c r="O77" s="473" t="s">
        <v>1327</v>
      </c>
      <c r="P77">
        <v>800</v>
      </c>
      <c r="Q77" s="443">
        <v>1.71</v>
      </c>
      <c r="R77" s="433" t="s">
        <v>1093</v>
      </c>
    </row>
    <row r="78" spans="1:18" x14ac:dyDescent="0.25">
      <c r="K78" s="382" t="s">
        <v>1342</v>
      </c>
      <c r="L78" s="383" t="s">
        <v>978</v>
      </c>
      <c r="M78" s="432" t="str">
        <f t="shared" si="3"/>
        <v>http://www.biral.ch/fileadmin/Media/images/Planungstools/PumpStationSelector_DWG/FPS_1000_5.25_90_BF_11_F1</v>
      </c>
      <c r="N78" s="382" t="s">
        <v>1223</v>
      </c>
      <c r="O78" s="473" t="s">
        <v>1327</v>
      </c>
      <c r="P78">
        <v>800</v>
      </c>
      <c r="Q78" s="443">
        <v>1.72</v>
      </c>
      <c r="R78" s="433" t="s">
        <v>1093</v>
      </c>
    </row>
    <row r="79" spans="1:18" x14ac:dyDescent="0.25">
      <c r="A79">
        <f>C79</f>
        <v>0</v>
      </c>
      <c r="B79" t="s">
        <v>1079</v>
      </c>
      <c r="D79" t="s">
        <v>71</v>
      </c>
      <c r="E79">
        <f>C79</f>
        <v>0</v>
      </c>
      <c r="K79" s="382" t="s">
        <v>1343</v>
      </c>
      <c r="L79" s="383" t="s">
        <v>979</v>
      </c>
      <c r="M79" s="432" t="str">
        <f t="shared" si="3"/>
        <v>http://www.biral.ch/fileadmin/Media/images/Planungstools/PumpStationSelector_DWG/FPS_1000_5.5_90_BF_11_F1</v>
      </c>
      <c r="N79" s="382" t="s">
        <v>1224</v>
      </c>
      <c r="O79" s="473" t="s">
        <v>1327</v>
      </c>
      <c r="P79">
        <v>800</v>
      </c>
      <c r="Q79" s="443">
        <v>1.73</v>
      </c>
      <c r="R79" s="433" t="s">
        <v>1093</v>
      </c>
    </row>
    <row r="80" spans="1:18" x14ac:dyDescent="0.25">
      <c r="K80" s="382" t="s">
        <v>1344</v>
      </c>
      <c r="L80" s="384" t="str">
        <f>Sprachen!$E$266</f>
        <v>nessuno</v>
      </c>
      <c r="M80" s="432" t="str">
        <f t="shared" si="3"/>
        <v>http://www.biral.ch/fileadmin/Media/images/Planungstools/PumpStationSelector_DWG/FPS_1000_1.75_63_BF_12_F1</v>
      </c>
      <c r="N80" s="382" t="s">
        <v>1191</v>
      </c>
      <c r="O80" s="473" t="s">
        <v>1327</v>
      </c>
      <c r="P80">
        <v>800</v>
      </c>
      <c r="Q80" s="443">
        <v>1.74</v>
      </c>
      <c r="R80" s="433" t="s">
        <v>1093</v>
      </c>
    </row>
    <row r="81" spans="1:18" x14ac:dyDescent="0.25">
      <c r="A81" t="b">
        <f t="shared" ref="A81:A93" si="6">C81</f>
        <v>0</v>
      </c>
      <c r="B81" t="s">
        <v>1084</v>
      </c>
      <c r="C81" t="b">
        <f>Tabelle2!B38</f>
        <v>0</v>
      </c>
      <c r="D81" t="s">
        <v>345</v>
      </c>
      <c r="E81" t="b">
        <f t="shared" ref="E81:E93" si="7">C81</f>
        <v>0</v>
      </c>
      <c r="F81">
        <f>IF(C81=TRUE,1,0)</f>
        <v>0</v>
      </c>
      <c r="G81">
        <v>75</v>
      </c>
      <c r="H81">
        <v>75</v>
      </c>
      <c r="I81">
        <v>75</v>
      </c>
      <c r="K81" s="382" t="s">
        <v>1345</v>
      </c>
      <c r="L81" s="384" t="str">
        <f>Sprachen!$E$266</f>
        <v>nessuno</v>
      </c>
      <c r="M81" s="432" t="str">
        <f t="shared" si="3"/>
        <v>http://www.biral.ch/fileadmin/Media/images/Planungstools/PumpStationSelector_DWG/FPS_1000_2.0_63_BF_12_F1</v>
      </c>
      <c r="N81" s="382" t="s">
        <v>1192</v>
      </c>
      <c r="O81" s="473" t="s">
        <v>1327</v>
      </c>
      <c r="P81">
        <v>800</v>
      </c>
      <c r="Q81" s="443">
        <v>1.75</v>
      </c>
      <c r="R81" s="433" t="s">
        <v>1093</v>
      </c>
    </row>
    <row r="82" spans="1:18" x14ac:dyDescent="0.25">
      <c r="A82" t="b">
        <f t="shared" si="6"/>
        <v>0</v>
      </c>
      <c r="B82" t="s">
        <v>1111</v>
      </c>
      <c r="C82" t="b">
        <f>Tabelle2!B44</f>
        <v>0</v>
      </c>
      <c r="D82" t="s">
        <v>54</v>
      </c>
      <c r="E82" t="b">
        <f t="shared" si="7"/>
        <v>0</v>
      </c>
      <c r="F82">
        <f>IF(C82=TRUE,1,0)</f>
        <v>0</v>
      </c>
      <c r="G82">
        <v>90</v>
      </c>
      <c r="H82">
        <v>75</v>
      </c>
      <c r="I82">
        <v>75</v>
      </c>
      <c r="K82" s="382" t="s">
        <v>1346</v>
      </c>
      <c r="L82" s="384" t="str">
        <f>Sprachen!$E$266</f>
        <v>nessuno</v>
      </c>
      <c r="M82" s="432" t="str">
        <f t="shared" si="3"/>
        <v>http://www.biral.ch/fileadmin/Media/images/Planungstools/PumpStationSelector_DWG/FPS_1000_2.25_63_BF_12_F1</v>
      </c>
      <c r="N82" s="382" t="s">
        <v>1193</v>
      </c>
      <c r="O82" s="473" t="s">
        <v>1327</v>
      </c>
      <c r="P82">
        <v>800</v>
      </c>
      <c r="Q82" s="443">
        <v>1.76</v>
      </c>
      <c r="R82" s="433" t="s">
        <v>1093</v>
      </c>
    </row>
    <row r="83" spans="1:18" x14ac:dyDescent="0.25">
      <c r="A83" t="b">
        <f t="shared" si="6"/>
        <v>0</v>
      </c>
      <c r="B83" t="s">
        <v>1085</v>
      </c>
      <c r="C83" t="b">
        <f>Tabelle2!B45</f>
        <v>0</v>
      </c>
      <c r="D83" t="s">
        <v>64</v>
      </c>
      <c r="E83" t="b">
        <f t="shared" si="7"/>
        <v>0</v>
      </c>
      <c r="F83">
        <f>IF(C83=TRUE,1,0)</f>
        <v>0</v>
      </c>
      <c r="G83">
        <v>100</v>
      </c>
      <c r="H83">
        <v>75</v>
      </c>
      <c r="I83">
        <v>75</v>
      </c>
      <c r="K83" s="382" t="s">
        <v>1347</v>
      </c>
      <c r="L83" s="384" t="str">
        <f>Sprachen!$E$266</f>
        <v>nessuno</v>
      </c>
      <c r="M83" s="432" t="str">
        <f t="shared" si="3"/>
        <v>http://www.biral.ch/fileadmin/Media/images/Planungstools/PumpStationSelector_DWG/FPS_1000_2.5_63_BF_12_F1</v>
      </c>
      <c r="N83" s="382" t="s">
        <v>1194</v>
      </c>
      <c r="O83" s="473" t="s">
        <v>1327</v>
      </c>
      <c r="P83">
        <v>800</v>
      </c>
      <c r="Q83" s="443">
        <v>1.77</v>
      </c>
      <c r="R83" s="433" t="s">
        <v>1093</v>
      </c>
    </row>
    <row r="84" spans="1:18" x14ac:dyDescent="0.25">
      <c r="A84">
        <f t="shared" si="6"/>
        <v>0</v>
      </c>
      <c r="B84" t="s">
        <v>72</v>
      </c>
      <c r="D84" t="s">
        <v>72</v>
      </c>
      <c r="E84">
        <f t="shared" si="7"/>
        <v>0</v>
      </c>
      <c r="K84" s="382" t="s">
        <v>1348</v>
      </c>
      <c r="L84" s="384" t="str">
        <f>Sprachen!$E$266</f>
        <v>nessuno</v>
      </c>
      <c r="M84" s="432" t="str">
        <f t="shared" si="3"/>
        <v>http://www.biral.ch/fileadmin/Media/images/Planungstools/PumpStationSelector_DWG/FPS_1000_2.75_63_BF_12_F1</v>
      </c>
      <c r="N84" s="382" t="s">
        <v>1195</v>
      </c>
      <c r="O84" s="473" t="s">
        <v>1327</v>
      </c>
      <c r="P84">
        <v>800</v>
      </c>
      <c r="Q84" s="443">
        <v>1.78</v>
      </c>
      <c r="R84" s="433" t="s">
        <v>1093</v>
      </c>
    </row>
    <row r="85" spans="1:18" x14ac:dyDescent="0.25">
      <c r="A85" t="b">
        <f t="shared" si="6"/>
        <v>0</v>
      </c>
      <c r="B85" t="s">
        <v>1111</v>
      </c>
      <c r="C85" t="b">
        <f>Tabelle2!B47</f>
        <v>0</v>
      </c>
      <c r="D85" t="s">
        <v>55</v>
      </c>
      <c r="E85" t="b">
        <f t="shared" si="7"/>
        <v>0</v>
      </c>
      <c r="F85">
        <f>IF(C85=TRUE,1,0)</f>
        <v>0</v>
      </c>
      <c r="G85">
        <v>90</v>
      </c>
      <c r="H85">
        <v>75</v>
      </c>
      <c r="I85">
        <v>75</v>
      </c>
      <c r="K85" s="382" t="s">
        <v>1349</v>
      </c>
      <c r="L85" s="384" t="str">
        <f>Sprachen!$E$266</f>
        <v>nessuno</v>
      </c>
      <c r="M85" s="432" t="str">
        <f t="shared" si="3"/>
        <v>http://www.biral.ch/fileadmin/Media/images/Planungstools/PumpStationSelector_DWG/FPS_1000_3.0_63_BF_12_F1</v>
      </c>
      <c r="N85" s="382" t="s">
        <v>1196</v>
      </c>
      <c r="O85" s="473" t="s">
        <v>1327</v>
      </c>
      <c r="P85">
        <v>800</v>
      </c>
      <c r="Q85" s="443">
        <v>1.79</v>
      </c>
      <c r="R85" s="433" t="s">
        <v>1093</v>
      </c>
    </row>
    <row r="86" spans="1:18" x14ac:dyDescent="0.25">
      <c r="A86" t="b">
        <f t="shared" si="6"/>
        <v>0</v>
      </c>
      <c r="B86" t="s">
        <v>1085</v>
      </c>
      <c r="C86" t="b">
        <f>Tabelle2!B48</f>
        <v>0</v>
      </c>
      <c r="D86" t="s">
        <v>65</v>
      </c>
      <c r="E86" t="b">
        <f t="shared" si="7"/>
        <v>0</v>
      </c>
      <c r="F86">
        <f>IF(C86=TRUE,1,0)</f>
        <v>0</v>
      </c>
      <c r="G86">
        <v>100</v>
      </c>
      <c r="H86">
        <v>75</v>
      </c>
      <c r="I86">
        <v>75</v>
      </c>
      <c r="K86" s="382" t="s">
        <v>1350</v>
      </c>
      <c r="L86" s="385" t="s">
        <v>981</v>
      </c>
      <c r="M86" s="432" t="str">
        <f t="shared" si="3"/>
        <v>http://www.biral.ch/fileadmin/Media/images/Planungstools/PumpStationSelector_DWG/FPS_1000_1.75_63_BF_12_F1</v>
      </c>
      <c r="N86" s="382" t="s">
        <v>1191</v>
      </c>
      <c r="O86" s="473" t="s">
        <v>1327</v>
      </c>
      <c r="P86">
        <v>800</v>
      </c>
      <c r="Q86" s="443">
        <v>1.8</v>
      </c>
      <c r="R86" s="433" t="s">
        <v>1093</v>
      </c>
    </row>
    <row r="87" spans="1:18" x14ac:dyDescent="0.25">
      <c r="A87" t="b">
        <f t="shared" si="6"/>
        <v>0</v>
      </c>
      <c r="B87" t="s">
        <v>1086</v>
      </c>
      <c r="C87" t="b">
        <f>Tabelle2!B49</f>
        <v>0</v>
      </c>
      <c r="D87" t="s">
        <v>66</v>
      </c>
      <c r="E87" t="b">
        <f t="shared" si="7"/>
        <v>0</v>
      </c>
      <c r="F87">
        <f>IF(C87=TRUE,1,0)</f>
        <v>0</v>
      </c>
      <c r="G87">
        <v>150</v>
      </c>
      <c r="H87">
        <v>75</v>
      </c>
      <c r="I87">
        <v>75</v>
      </c>
      <c r="K87" s="382" t="s">
        <v>1351</v>
      </c>
      <c r="L87" s="385" t="s">
        <v>982</v>
      </c>
      <c r="M87" s="432" t="str">
        <f t="shared" si="3"/>
        <v>http://www.biral.ch/fileadmin/Media/images/Planungstools/PumpStationSelector_DWG/FPS_1000_2.0_63_BF_12_F1</v>
      </c>
      <c r="N87" s="382" t="s">
        <v>1192</v>
      </c>
      <c r="O87" s="473" t="s">
        <v>1327</v>
      </c>
      <c r="P87">
        <v>800</v>
      </c>
      <c r="Q87" s="443">
        <v>1.81</v>
      </c>
      <c r="R87" s="433" t="s">
        <v>1093</v>
      </c>
    </row>
    <row r="88" spans="1:18" x14ac:dyDescent="0.25">
      <c r="A88">
        <f t="shared" si="6"/>
        <v>0</v>
      </c>
      <c r="B88" t="s">
        <v>73</v>
      </c>
      <c r="D88" t="s">
        <v>73</v>
      </c>
      <c r="E88">
        <f t="shared" si="7"/>
        <v>0</v>
      </c>
      <c r="K88" s="382" t="s">
        <v>1352</v>
      </c>
      <c r="L88" s="385" t="s">
        <v>983</v>
      </c>
      <c r="M88" s="432" t="str">
        <f t="shared" si="3"/>
        <v>http://www.biral.ch/fileadmin/Media/images/Planungstools/PumpStationSelector_DWG/FPS_1000_2.25_63_BF_12_F1</v>
      </c>
      <c r="N88" s="382" t="s">
        <v>1193</v>
      </c>
      <c r="O88" s="473" t="s">
        <v>1327</v>
      </c>
      <c r="P88">
        <v>800</v>
      </c>
      <c r="Q88" s="443">
        <v>1.82</v>
      </c>
      <c r="R88" s="433" t="s">
        <v>1093</v>
      </c>
    </row>
    <row r="89" spans="1:18" x14ac:dyDescent="0.25">
      <c r="A89" t="b">
        <f t="shared" si="6"/>
        <v>0</v>
      </c>
      <c r="B89" t="s">
        <v>1180</v>
      </c>
      <c r="C89" t="b">
        <f>Tabelle2!B51</f>
        <v>0</v>
      </c>
      <c r="D89" t="s">
        <v>75</v>
      </c>
      <c r="E89" t="b">
        <f t="shared" si="7"/>
        <v>0</v>
      </c>
      <c r="F89">
        <f>IF(C89=TRUE,1,0)</f>
        <v>0</v>
      </c>
      <c r="G89">
        <v>63</v>
      </c>
      <c r="H89">
        <v>75</v>
      </c>
      <c r="I89">
        <v>75</v>
      </c>
      <c r="K89" s="382" t="s">
        <v>1353</v>
      </c>
      <c r="L89" s="385" t="s">
        <v>984</v>
      </c>
      <c r="M89" s="432" t="str">
        <f t="shared" si="3"/>
        <v>http://www.biral.ch/fileadmin/Media/images/Planungstools/PumpStationSelector_DWG/FPS_1000_2.5_63_BF_12_F1</v>
      </c>
      <c r="N89" s="382" t="s">
        <v>1194</v>
      </c>
      <c r="O89" s="473" t="s">
        <v>1327</v>
      </c>
      <c r="P89">
        <v>800</v>
      </c>
      <c r="Q89" s="443">
        <v>1.83</v>
      </c>
      <c r="R89" s="433" t="s">
        <v>1093</v>
      </c>
    </row>
    <row r="90" spans="1:18" x14ac:dyDescent="0.25">
      <c r="A90">
        <f t="shared" si="6"/>
        <v>0</v>
      </c>
      <c r="B90" t="s">
        <v>74</v>
      </c>
      <c r="D90" t="s">
        <v>74</v>
      </c>
      <c r="E90">
        <f t="shared" si="7"/>
        <v>0</v>
      </c>
      <c r="K90" s="382" t="s">
        <v>1354</v>
      </c>
      <c r="L90" s="385" t="s">
        <v>985</v>
      </c>
      <c r="M90" s="432" t="str">
        <f t="shared" si="3"/>
        <v>http://www.biral.ch/fileadmin/Media/images/Planungstools/PumpStationSelector_DWG/FPS_1000_2.75_63_BF_12_F1</v>
      </c>
      <c r="N90" s="382" t="s">
        <v>1195</v>
      </c>
      <c r="O90" s="473" t="s">
        <v>1327</v>
      </c>
      <c r="P90">
        <v>800</v>
      </c>
      <c r="Q90" s="443">
        <v>1.84</v>
      </c>
      <c r="R90" s="433" t="s">
        <v>1093</v>
      </c>
    </row>
    <row r="91" spans="1:18" x14ac:dyDescent="0.25">
      <c r="A91" t="b">
        <f t="shared" si="6"/>
        <v>0</v>
      </c>
      <c r="B91" t="s">
        <v>1182</v>
      </c>
      <c r="C91" t="b">
        <f>Tabelle2!B53</f>
        <v>0</v>
      </c>
      <c r="D91" t="s">
        <v>76</v>
      </c>
      <c r="E91" t="b">
        <f t="shared" si="7"/>
        <v>0</v>
      </c>
      <c r="F91">
        <f>IF(C91=TRUE,1,0)</f>
        <v>0</v>
      </c>
      <c r="G91">
        <v>63</v>
      </c>
      <c r="H91">
        <v>75</v>
      </c>
      <c r="I91">
        <v>75</v>
      </c>
      <c r="K91" s="382" t="s">
        <v>1355</v>
      </c>
      <c r="L91" s="385" t="s">
        <v>986</v>
      </c>
      <c r="M91" s="432" t="str">
        <f t="shared" si="3"/>
        <v>http://www.biral.ch/fileadmin/Media/images/Planungstools/PumpStationSelector_DWG/FPS_1000_3.0_63_BF_12_F1</v>
      </c>
      <c r="N91" s="382" t="s">
        <v>1196</v>
      </c>
      <c r="O91" s="473" t="s">
        <v>1327</v>
      </c>
      <c r="P91">
        <v>800</v>
      </c>
      <c r="Q91" s="443">
        <v>1.85</v>
      </c>
      <c r="R91" s="433" t="s">
        <v>1093</v>
      </c>
    </row>
    <row r="92" spans="1:18" x14ac:dyDescent="0.25">
      <c r="A92">
        <f t="shared" si="6"/>
        <v>0</v>
      </c>
      <c r="B92" t="s">
        <v>68</v>
      </c>
      <c r="D92" t="s">
        <v>68</v>
      </c>
      <c r="E92">
        <f t="shared" si="7"/>
        <v>0</v>
      </c>
      <c r="K92" s="382" t="s">
        <v>1356</v>
      </c>
      <c r="L92" s="385" t="s">
        <v>981</v>
      </c>
      <c r="M92" s="432" t="str">
        <f t="shared" si="3"/>
        <v>http://www.biral.ch/fileadmin/Media/images/Planungstools/PumpStationSelector_DWG/FPS_1000_1.75_63_BF_12_F1</v>
      </c>
      <c r="N92" s="382" t="s">
        <v>1191</v>
      </c>
      <c r="O92" s="473" t="s">
        <v>1327</v>
      </c>
      <c r="P92">
        <v>800</v>
      </c>
      <c r="Q92" s="443">
        <v>1.86</v>
      </c>
      <c r="R92" s="433" t="s">
        <v>1093</v>
      </c>
    </row>
    <row r="93" spans="1:18" x14ac:dyDescent="0.25">
      <c r="A93" t="b">
        <f t="shared" si="6"/>
        <v>0</v>
      </c>
      <c r="B93" t="s">
        <v>1080</v>
      </c>
      <c r="C93" t="b">
        <f>Tabelle2!B55</f>
        <v>0</v>
      </c>
      <c r="D93" t="s">
        <v>68</v>
      </c>
      <c r="E93" t="b">
        <f t="shared" si="7"/>
        <v>0</v>
      </c>
      <c r="F93">
        <f>IF(C93=TRUE,1,0)</f>
        <v>0</v>
      </c>
      <c r="G93">
        <v>150</v>
      </c>
      <c r="H93" t="str">
        <f>VLOOKUP(G95,C64:D93,2,1)</f>
        <v>Spez. Pumpe</v>
      </c>
      <c r="K93" s="382" t="s">
        <v>1357</v>
      </c>
      <c r="L93" s="385" t="s">
        <v>982</v>
      </c>
      <c r="M93" s="432" t="str">
        <f t="shared" si="3"/>
        <v>http://www.biral.ch/fileadmin/Media/images/Planungstools/PumpStationSelector_DWG/FPS_1000_2.0_63_BF_12_F1</v>
      </c>
      <c r="N93" s="382" t="s">
        <v>1192</v>
      </c>
      <c r="O93" s="473" t="s">
        <v>1327</v>
      </c>
      <c r="P93">
        <v>800</v>
      </c>
      <c r="Q93" s="443">
        <v>1.87</v>
      </c>
      <c r="R93" s="433" t="s">
        <v>1093</v>
      </c>
    </row>
    <row r="94" spans="1:18" x14ac:dyDescent="0.25">
      <c r="C94" t="e">
        <f>VLOOKUP(TRUE,C64:D93,2,0)</f>
        <v>#N/A</v>
      </c>
      <c r="F94">
        <f>IF(SUM(F81:F93)&gt;0.1,75,0)</f>
        <v>0</v>
      </c>
      <c r="H94" t="e">
        <f>VLOOKUP(G95,A64:B93,2,0)</f>
        <v>#N/A</v>
      </c>
      <c r="K94" s="382" t="s">
        <v>1358</v>
      </c>
      <c r="L94" s="385" t="s">
        <v>983</v>
      </c>
      <c r="M94" s="432" t="str">
        <f t="shared" si="3"/>
        <v>http://www.biral.ch/fileadmin/Media/images/Planungstools/PumpStationSelector_DWG/FPS_1000_2.25_63_BF_12_F1</v>
      </c>
      <c r="N94" s="382" t="s">
        <v>1193</v>
      </c>
      <c r="O94" s="473" t="s">
        <v>1327</v>
      </c>
      <c r="P94">
        <v>800</v>
      </c>
      <c r="Q94" s="443">
        <v>1.88</v>
      </c>
      <c r="R94" s="433" t="s">
        <v>1093</v>
      </c>
    </row>
    <row r="95" spans="1:18" x14ac:dyDescent="0.25">
      <c r="G95" t="b">
        <v>1</v>
      </c>
      <c r="H95" s="28" t="e">
        <f>IF(OR(H94=B83,H94=B87),"",H94)</f>
        <v>#N/A</v>
      </c>
      <c r="K95" s="382" t="s">
        <v>1359</v>
      </c>
      <c r="L95" s="385" t="s">
        <v>984</v>
      </c>
      <c r="M95" s="432" t="str">
        <f t="shared" si="3"/>
        <v>http://www.biral.ch/fileadmin/Media/images/Planungstools/PumpStationSelector_DWG/FPS_1000_2.5_63_BF_12_F1</v>
      </c>
      <c r="N95" s="382" t="s">
        <v>1194</v>
      </c>
      <c r="O95" s="473" t="s">
        <v>1327</v>
      </c>
      <c r="P95">
        <v>800</v>
      </c>
      <c r="Q95" s="443">
        <v>1.89</v>
      </c>
      <c r="R95" s="433" t="s">
        <v>1093</v>
      </c>
    </row>
    <row r="96" spans="1:18" x14ac:dyDescent="0.25">
      <c r="E96" t="s">
        <v>1046</v>
      </c>
      <c r="F96" t="b">
        <v>1</v>
      </c>
      <c r="G96" s="28" t="e">
        <f>VLOOKUP(F96,E64:G94,3,0)</f>
        <v>#N/A</v>
      </c>
      <c r="K96" s="382" t="s">
        <v>1360</v>
      </c>
      <c r="L96" s="385" t="s">
        <v>985</v>
      </c>
      <c r="M96" s="432" t="str">
        <f t="shared" si="3"/>
        <v>http://www.biral.ch/fileadmin/Media/images/Planungstools/PumpStationSelector_DWG/FPS_1000_2.75_63_BF_12_F1</v>
      </c>
      <c r="N96" s="382" t="s">
        <v>1195</v>
      </c>
      <c r="O96" s="473" t="s">
        <v>1327</v>
      </c>
      <c r="P96">
        <v>800</v>
      </c>
      <c r="Q96" s="443">
        <v>1.9</v>
      </c>
      <c r="R96" s="433" t="s">
        <v>1093</v>
      </c>
    </row>
    <row r="97" spans="7:18" x14ac:dyDescent="0.25">
      <c r="G97" s="28" t="e">
        <f>IF(G96=90,90,G96)</f>
        <v>#N/A</v>
      </c>
      <c r="K97" s="382" t="s">
        <v>1361</v>
      </c>
      <c r="L97" s="385" t="s">
        <v>986</v>
      </c>
      <c r="M97" s="432" t="str">
        <f t="shared" si="3"/>
        <v>http://www.biral.ch/fileadmin/Media/images/Planungstools/PumpStationSelector_DWG/FPS_1000_3.0_63_BF_12_F1</v>
      </c>
      <c r="N97" s="382" t="s">
        <v>1196</v>
      </c>
      <c r="O97" s="473" t="s">
        <v>1327</v>
      </c>
      <c r="P97">
        <v>800</v>
      </c>
      <c r="Q97" s="443">
        <v>1.91</v>
      </c>
      <c r="R97" s="433" t="s">
        <v>1093</v>
      </c>
    </row>
    <row r="98" spans="7:18" x14ac:dyDescent="0.25">
      <c r="K98" s="382" t="s">
        <v>1362</v>
      </c>
      <c r="L98" s="385" t="s">
        <v>981</v>
      </c>
      <c r="M98" s="432" t="str">
        <f t="shared" si="3"/>
        <v>http://www.biral.ch/fileadmin/Media/images/Planungstools/PumpStationSelector_DWG/FPS_1000_1.75_63_BF_12_F1</v>
      </c>
      <c r="N98" s="382" t="s">
        <v>1191</v>
      </c>
      <c r="O98" s="473" t="s">
        <v>1327</v>
      </c>
      <c r="P98">
        <v>800</v>
      </c>
      <c r="Q98" s="443">
        <v>1.92</v>
      </c>
      <c r="R98" s="433" t="s">
        <v>1093</v>
      </c>
    </row>
    <row r="99" spans="7:18" x14ac:dyDescent="0.25">
      <c r="H99" s="55" t="s">
        <v>1652</v>
      </c>
      <c r="I99" s="28" t="e">
        <f>IF(OR(B53=TRUE,B54=TRUE),VLOOKUP(TRUE,E64:I94,4,0),VLOOKUP(TRUE,E64:I94,5,0))</f>
        <v>#N/A</v>
      </c>
      <c r="K99" s="382" t="s">
        <v>1363</v>
      </c>
      <c r="L99" s="385" t="s">
        <v>982</v>
      </c>
      <c r="M99" s="432" t="str">
        <f t="shared" si="3"/>
        <v>http://www.biral.ch/fileadmin/Media/images/Planungstools/PumpStationSelector_DWG/FPS_1000_2.0_63_BF_12_F1</v>
      </c>
      <c r="N99" s="382" t="s">
        <v>1192</v>
      </c>
      <c r="O99" s="473" t="s">
        <v>1327</v>
      </c>
      <c r="P99">
        <v>800</v>
      </c>
      <c r="Q99" s="443">
        <v>1.93</v>
      </c>
      <c r="R99" s="433" t="s">
        <v>1093</v>
      </c>
    </row>
    <row r="100" spans="7:18" x14ac:dyDescent="0.25">
      <c r="K100" s="382" t="s">
        <v>1364</v>
      </c>
      <c r="L100" s="385" t="s">
        <v>983</v>
      </c>
      <c r="M100" s="432" t="str">
        <f t="shared" si="3"/>
        <v>http://www.biral.ch/fileadmin/Media/images/Planungstools/PumpStationSelector_DWG/FPS_1000_2.25_63_BF_12_F1</v>
      </c>
      <c r="N100" s="382" t="s">
        <v>1193</v>
      </c>
      <c r="O100" s="473" t="s">
        <v>1327</v>
      </c>
      <c r="P100">
        <v>800</v>
      </c>
      <c r="Q100" s="443">
        <v>1.94</v>
      </c>
      <c r="R100" s="433" t="s">
        <v>1093</v>
      </c>
    </row>
    <row r="101" spans="7:18" x14ac:dyDescent="0.25">
      <c r="K101" s="382" t="s">
        <v>1365</v>
      </c>
      <c r="L101" s="385" t="s">
        <v>984</v>
      </c>
      <c r="M101" s="432" t="str">
        <f t="shared" si="3"/>
        <v>http://www.biral.ch/fileadmin/Media/images/Planungstools/PumpStationSelector_DWG/FPS_1000_2.5_63_BF_12_F1</v>
      </c>
      <c r="N101" s="382" t="s">
        <v>1194</v>
      </c>
      <c r="O101" s="473" t="s">
        <v>1327</v>
      </c>
      <c r="P101">
        <v>800</v>
      </c>
      <c r="Q101" s="443">
        <v>1.95</v>
      </c>
      <c r="R101" s="433" t="s">
        <v>1093</v>
      </c>
    </row>
    <row r="102" spans="7:18" x14ac:dyDescent="0.25">
      <c r="K102" s="382" t="s">
        <v>1366</v>
      </c>
      <c r="L102" s="385" t="s">
        <v>985</v>
      </c>
      <c r="M102" s="432" t="str">
        <f t="shared" si="3"/>
        <v>http://www.biral.ch/fileadmin/Media/images/Planungstools/PumpStationSelector_DWG/FPS_1000_2.75_63_BF_12_F1</v>
      </c>
      <c r="N102" s="382" t="s">
        <v>1195</v>
      </c>
      <c r="O102" s="473" t="s">
        <v>1327</v>
      </c>
      <c r="P102">
        <v>800</v>
      </c>
      <c r="Q102" s="443">
        <v>1.96</v>
      </c>
      <c r="R102" s="433" t="s">
        <v>1093</v>
      </c>
    </row>
    <row r="103" spans="7:18" x14ac:dyDescent="0.25">
      <c r="K103" s="382" t="s">
        <v>1367</v>
      </c>
      <c r="L103" s="385" t="s">
        <v>986</v>
      </c>
      <c r="M103" s="432" t="str">
        <f t="shared" si="3"/>
        <v>http://www.biral.ch/fileadmin/Media/images/Planungstools/PumpStationSelector_DWG/FPS_1000_3.0_63_BF_12_F1</v>
      </c>
      <c r="N103" s="382" t="s">
        <v>1196</v>
      </c>
      <c r="O103" s="473" t="s">
        <v>1327</v>
      </c>
      <c r="P103">
        <v>800</v>
      </c>
      <c r="Q103" s="443">
        <v>1.97</v>
      </c>
      <c r="R103" s="433" t="s">
        <v>1093</v>
      </c>
    </row>
    <row r="104" spans="7:18" x14ac:dyDescent="0.25">
      <c r="K104" s="382" t="s">
        <v>1368</v>
      </c>
      <c r="L104" s="385" t="s">
        <v>987</v>
      </c>
      <c r="M104" s="432" t="str">
        <f t="shared" si="3"/>
        <v>http://www.biral.ch/fileadmin/Media/images/Planungstools/PumpStationSelector_DWG/FPS_1000_1.75_63_BF_11_F1</v>
      </c>
      <c r="N104" s="382" t="s">
        <v>1185</v>
      </c>
      <c r="O104" s="473" t="s">
        <v>1327</v>
      </c>
      <c r="P104">
        <v>800</v>
      </c>
      <c r="Q104" s="443">
        <v>1.98</v>
      </c>
      <c r="R104" s="433" t="s">
        <v>1093</v>
      </c>
    </row>
    <row r="105" spans="7:18" x14ac:dyDescent="0.25">
      <c r="K105" s="382" t="s">
        <v>1369</v>
      </c>
      <c r="L105" s="385" t="s">
        <v>988</v>
      </c>
      <c r="M105" s="432" t="str">
        <f t="shared" si="3"/>
        <v>http://www.biral.ch/fileadmin/Media/images/Planungstools/PumpStationSelector_DWG/FPS_1000_2.0_63_BF_11_F1</v>
      </c>
      <c r="N105" s="382" t="s">
        <v>1186</v>
      </c>
      <c r="O105" s="473" t="s">
        <v>1327</v>
      </c>
      <c r="P105">
        <v>800</v>
      </c>
      <c r="Q105" s="443">
        <v>1.99</v>
      </c>
      <c r="R105" s="433" t="s">
        <v>1093</v>
      </c>
    </row>
    <row r="106" spans="7:18" x14ac:dyDescent="0.25">
      <c r="K106" s="382" t="s">
        <v>1370</v>
      </c>
      <c r="L106" s="385" t="s">
        <v>989</v>
      </c>
      <c r="M106" s="432" t="str">
        <f t="shared" si="3"/>
        <v>http://www.biral.ch/fileadmin/Media/images/Planungstools/PumpStationSelector_DWG/FPS_1000_2.25_63_BF_11_F1</v>
      </c>
      <c r="N106" s="382" t="s">
        <v>1187</v>
      </c>
      <c r="O106" s="473" t="s">
        <v>1327</v>
      </c>
      <c r="P106">
        <v>800</v>
      </c>
      <c r="Q106" s="443">
        <v>2</v>
      </c>
      <c r="R106" s="433" t="s">
        <v>1093</v>
      </c>
    </row>
    <row r="107" spans="7:18" x14ac:dyDescent="0.25">
      <c r="K107" s="382" t="s">
        <v>1371</v>
      </c>
      <c r="L107" s="385" t="s">
        <v>990</v>
      </c>
      <c r="M107" s="432" t="str">
        <f t="shared" si="3"/>
        <v>http://www.biral.ch/fileadmin/Media/images/Planungstools/PumpStationSelector_DWG/FPS_1000_2.5_63_BF_11_F1</v>
      </c>
      <c r="N107" s="382" t="s">
        <v>1188</v>
      </c>
      <c r="O107" s="473" t="s">
        <v>1327</v>
      </c>
      <c r="P107">
        <v>800</v>
      </c>
      <c r="Q107" s="443">
        <v>2.0099999999999998</v>
      </c>
      <c r="R107" s="433" t="s">
        <v>1093</v>
      </c>
    </row>
    <row r="108" spans="7:18" x14ac:dyDescent="0.25">
      <c r="K108" s="382" t="s">
        <v>1372</v>
      </c>
      <c r="L108" s="385" t="s">
        <v>991</v>
      </c>
      <c r="M108" s="432" t="str">
        <f t="shared" si="3"/>
        <v>http://www.biral.ch/fileadmin/Media/images/Planungstools/PumpStationSelector_DWG/FPS_1000_2.75_63_BF_11_F1</v>
      </c>
      <c r="N108" s="382" t="s">
        <v>1189</v>
      </c>
      <c r="O108" s="473" t="s">
        <v>1327</v>
      </c>
      <c r="P108">
        <v>800</v>
      </c>
      <c r="Q108" s="443">
        <v>2.02</v>
      </c>
      <c r="R108" s="433" t="s">
        <v>1093</v>
      </c>
    </row>
    <row r="109" spans="7:18" x14ac:dyDescent="0.25">
      <c r="K109" s="382" t="s">
        <v>1373</v>
      </c>
      <c r="L109" s="385" t="s">
        <v>992</v>
      </c>
      <c r="M109" s="432" t="str">
        <f t="shared" si="3"/>
        <v>http://www.biral.ch/fileadmin/Media/images/Planungstools/PumpStationSelector_DWG/FPS_1000_3.0_63_BF_11_F1</v>
      </c>
      <c r="N109" s="382" t="s">
        <v>1190</v>
      </c>
      <c r="O109" s="473" t="s">
        <v>1327</v>
      </c>
      <c r="P109">
        <v>800</v>
      </c>
      <c r="Q109" s="443">
        <v>2.0299999999999998</v>
      </c>
      <c r="R109" s="433" t="s">
        <v>1093</v>
      </c>
    </row>
    <row r="110" spans="7:18" x14ac:dyDescent="0.25">
      <c r="K110" s="382" t="s">
        <v>1374</v>
      </c>
      <c r="L110" s="385" t="s">
        <v>993</v>
      </c>
      <c r="M110" s="432" t="str">
        <f t="shared" si="3"/>
        <v>http://www.biral.ch/fileadmin/Media/images/Planungstools/PumpStationSelector_DWG/FPS_1000_1.75_63_BF_11_F1</v>
      </c>
      <c r="N110" s="382" t="s">
        <v>1185</v>
      </c>
      <c r="O110" s="473" t="s">
        <v>1327</v>
      </c>
      <c r="P110">
        <v>800</v>
      </c>
      <c r="Q110" s="443">
        <v>2.04</v>
      </c>
      <c r="R110" s="433" t="s">
        <v>1093</v>
      </c>
    </row>
    <row r="111" spans="7:18" x14ac:dyDescent="0.25">
      <c r="K111" s="382" t="s">
        <v>1375</v>
      </c>
      <c r="L111" s="385" t="s">
        <v>994</v>
      </c>
      <c r="M111" s="432" t="str">
        <f t="shared" si="3"/>
        <v>http://www.biral.ch/fileadmin/Media/images/Planungstools/PumpStationSelector_DWG/FPS_1000_2.0_63_BF_11_F1</v>
      </c>
      <c r="N111" s="382" t="s">
        <v>1186</v>
      </c>
      <c r="O111" s="473" t="s">
        <v>1327</v>
      </c>
      <c r="P111">
        <v>800</v>
      </c>
      <c r="Q111" s="443">
        <v>2.0499999999999998</v>
      </c>
      <c r="R111" s="433" t="s">
        <v>1093</v>
      </c>
    </row>
    <row r="112" spans="7:18" x14ac:dyDescent="0.25">
      <c r="K112" s="382" t="s">
        <v>1376</v>
      </c>
      <c r="L112" s="385" t="s">
        <v>995</v>
      </c>
      <c r="M112" s="432" t="str">
        <f t="shared" si="3"/>
        <v>http://www.biral.ch/fileadmin/Media/images/Planungstools/PumpStationSelector_DWG/FPS_1000_2.25_63_BF_11_F1</v>
      </c>
      <c r="N112" s="382" t="s">
        <v>1187</v>
      </c>
      <c r="O112" s="473" t="s">
        <v>1327</v>
      </c>
      <c r="P112">
        <v>800</v>
      </c>
      <c r="Q112" s="443">
        <v>2.06</v>
      </c>
      <c r="R112" s="433" t="s">
        <v>1093</v>
      </c>
    </row>
    <row r="113" spans="11:18" x14ac:dyDescent="0.25">
      <c r="K113" s="382" t="s">
        <v>1377</v>
      </c>
      <c r="L113" s="385" t="s">
        <v>996</v>
      </c>
      <c r="M113" s="432" t="str">
        <f t="shared" si="3"/>
        <v>http://www.biral.ch/fileadmin/Media/images/Planungstools/PumpStationSelector_DWG/FPS_1000_2.5_63_BF_11_F1</v>
      </c>
      <c r="N113" s="382" t="s">
        <v>1188</v>
      </c>
      <c r="O113" s="473" t="s">
        <v>1327</v>
      </c>
      <c r="P113">
        <v>800</v>
      </c>
      <c r="Q113" s="443">
        <v>2.0699999999999998</v>
      </c>
      <c r="R113" s="433" t="s">
        <v>1093</v>
      </c>
    </row>
    <row r="114" spans="11:18" x14ac:dyDescent="0.25">
      <c r="K114" s="382" t="s">
        <v>1378</v>
      </c>
      <c r="L114" s="385" t="s">
        <v>997</v>
      </c>
      <c r="M114" s="432" t="str">
        <f t="shared" si="3"/>
        <v>http://www.biral.ch/fileadmin/Media/images/Planungstools/PumpStationSelector_DWG/FPS_1000_2.75_63_BF_11_F1</v>
      </c>
      <c r="N114" s="382" t="s">
        <v>1189</v>
      </c>
      <c r="O114" s="473" t="s">
        <v>1327</v>
      </c>
      <c r="P114">
        <v>800</v>
      </c>
      <c r="Q114" s="443">
        <v>2.08</v>
      </c>
      <c r="R114" s="433" t="s">
        <v>1093</v>
      </c>
    </row>
    <row r="115" spans="11:18" x14ac:dyDescent="0.25">
      <c r="K115" s="382" t="s">
        <v>1379</v>
      </c>
      <c r="L115" s="385" t="s">
        <v>998</v>
      </c>
      <c r="M115" s="432" t="str">
        <f t="shared" si="3"/>
        <v>http://www.biral.ch/fileadmin/Media/images/Planungstools/PumpStationSelector_DWG/FPS_1000_3.0_63_BF_11_F1</v>
      </c>
      <c r="N115" s="382" t="s">
        <v>1190</v>
      </c>
      <c r="O115" s="473" t="s">
        <v>1327</v>
      </c>
      <c r="P115">
        <v>800</v>
      </c>
      <c r="Q115" s="443">
        <v>2.09</v>
      </c>
      <c r="R115" s="433" t="s">
        <v>1093</v>
      </c>
    </row>
    <row r="116" spans="11:18" x14ac:dyDescent="0.25">
      <c r="K116" s="382" t="s">
        <v>1380</v>
      </c>
      <c r="L116" s="382" t="s">
        <v>987</v>
      </c>
      <c r="M116" s="432" t="str">
        <f t="shared" si="3"/>
        <v>http://www.biral.ch/fileadmin/Media/images/Planungstools/PumpStationSelector_DWG/FPS_1000_1.75_63_BF_11_F1</v>
      </c>
      <c r="N116" s="382" t="s">
        <v>1185</v>
      </c>
      <c r="O116" s="473" t="s">
        <v>1327</v>
      </c>
      <c r="P116">
        <v>800</v>
      </c>
      <c r="Q116" s="443">
        <v>2.1</v>
      </c>
      <c r="R116" s="433">
        <v>2.5</v>
      </c>
    </row>
    <row r="117" spans="11:18" x14ac:dyDescent="0.25">
      <c r="K117" s="382" t="s">
        <v>1381</v>
      </c>
      <c r="L117" s="382" t="s">
        <v>988</v>
      </c>
      <c r="M117" s="432" t="str">
        <f t="shared" si="3"/>
        <v>http://www.biral.ch/fileadmin/Media/images/Planungstools/PumpStationSelector_DWG/FPS_1000_2.0_63_BF_11_F1</v>
      </c>
      <c r="N117" s="382" t="s">
        <v>1186</v>
      </c>
      <c r="O117" s="473" t="s">
        <v>1327</v>
      </c>
      <c r="P117">
        <v>800</v>
      </c>
      <c r="Q117" s="443">
        <v>2.11</v>
      </c>
      <c r="R117" s="433">
        <v>2.5</v>
      </c>
    </row>
    <row r="118" spans="11:18" x14ac:dyDescent="0.25">
      <c r="K118" s="382" t="s">
        <v>1382</v>
      </c>
      <c r="L118" s="382" t="s">
        <v>989</v>
      </c>
      <c r="M118" s="432" t="str">
        <f t="shared" si="3"/>
        <v>http://www.biral.ch/fileadmin/Media/images/Planungstools/PumpStationSelector_DWG/FPS_1000_2.25_63_BF_11_F1</v>
      </c>
      <c r="N118" s="382" t="s">
        <v>1187</v>
      </c>
      <c r="O118" s="473" t="s">
        <v>1327</v>
      </c>
      <c r="P118">
        <v>800</v>
      </c>
      <c r="Q118" s="443">
        <v>2.12</v>
      </c>
      <c r="R118" s="433">
        <v>2.5</v>
      </c>
    </row>
    <row r="119" spans="11:18" x14ac:dyDescent="0.25">
      <c r="K119" s="382" t="s">
        <v>1383</v>
      </c>
      <c r="L119" s="382" t="s">
        <v>990</v>
      </c>
      <c r="M119" s="432" t="str">
        <f t="shared" si="3"/>
        <v>http://www.biral.ch/fileadmin/Media/images/Planungstools/PumpStationSelector_DWG/FPS_1000_2.5_63_BF_11_F1</v>
      </c>
      <c r="N119" s="382" t="s">
        <v>1188</v>
      </c>
      <c r="O119" s="473" t="s">
        <v>1327</v>
      </c>
      <c r="P119">
        <v>800</v>
      </c>
      <c r="Q119" s="443">
        <v>2.13</v>
      </c>
      <c r="R119" s="433">
        <v>2.5</v>
      </c>
    </row>
    <row r="120" spans="11:18" x14ac:dyDescent="0.25">
      <c r="K120" s="382" t="s">
        <v>1384</v>
      </c>
      <c r="L120" s="382" t="s">
        <v>991</v>
      </c>
      <c r="M120" s="432" t="str">
        <f t="shared" si="3"/>
        <v>http://www.biral.ch/fileadmin/Media/images/Planungstools/PumpStationSelector_DWG/FPS_1000_2.75_63_BF_11_F1</v>
      </c>
      <c r="N120" s="382" t="s">
        <v>1189</v>
      </c>
      <c r="O120" s="473" t="s">
        <v>1327</v>
      </c>
      <c r="P120">
        <v>800</v>
      </c>
      <c r="Q120" s="443">
        <v>2.14</v>
      </c>
      <c r="R120" s="433">
        <v>2.5</v>
      </c>
    </row>
    <row r="121" spans="11:18" x14ac:dyDescent="0.25">
      <c r="K121" s="382" t="s">
        <v>1385</v>
      </c>
      <c r="L121" s="382" t="s">
        <v>992</v>
      </c>
      <c r="M121" s="432" t="str">
        <f t="shared" si="3"/>
        <v>http://www.biral.ch/fileadmin/Media/images/Planungstools/PumpStationSelector_DWG/FPS_1000_3.0_63_BF_11_F1</v>
      </c>
      <c r="N121" s="382" t="s">
        <v>1190</v>
      </c>
      <c r="O121" s="473" t="s">
        <v>1327</v>
      </c>
      <c r="P121">
        <v>800</v>
      </c>
      <c r="Q121" s="443">
        <v>2.15</v>
      </c>
      <c r="R121" s="433">
        <v>2.5</v>
      </c>
    </row>
    <row r="122" spans="11:18" x14ac:dyDescent="0.25">
      <c r="K122" s="382" t="s">
        <v>1386</v>
      </c>
      <c r="L122" s="386" t="s">
        <v>999</v>
      </c>
      <c r="M122" s="432" t="str">
        <f t="shared" si="3"/>
        <v>http://www.biral.ch/fileadmin/Media/images/Planungstools/PumpStationSelector_DWG/FPS_1000_1.75_75_BF_11_F1</v>
      </c>
      <c r="N122" s="382" t="s">
        <v>1197</v>
      </c>
      <c r="O122" s="473" t="s">
        <v>1327</v>
      </c>
      <c r="P122">
        <v>800</v>
      </c>
      <c r="Q122" s="443">
        <v>2.16</v>
      </c>
      <c r="R122" s="433">
        <v>2.5</v>
      </c>
    </row>
    <row r="123" spans="11:18" x14ac:dyDescent="0.25">
      <c r="K123" s="382" t="s">
        <v>1387</v>
      </c>
      <c r="L123" s="386" t="s">
        <v>1000</v>
      </c>
      <c r="M123" s="432" t="str">
        <f t="shared" si="3"/>
        <v>http://www.biral.ch/fileadmin/Media/images/Planungstools/PumpStationSelector_DWG/FPS_1000_2.0_75_BF_11_F1</v>
      </c>
      <c r="N123" s="382" t="s">
        <v>1198</v>
      </c>
      <c r="O123" s="473" t="s">
        <v>1327</v>
      </c>
      <c r="P123">
        <v>800</v>
      </c>
      <c r="Q123" s="443">
        <v>2.17</v>
      </c>
      <c r="R123" s="433">
        <v>2.5</v>
      </c>
    </row>
    <row r="124" spans="11:18" x14ac:dyDescent="0.25">
      <c r="K124" s="382" t="s">
        <v>1388</v>
      </c>
      <c r="L124" s="386" t="s">
        <v>1001</v>
      </c>
      <c r="M124" s="432" t="str">
        <f t="shared" si="3"/>
        <v>http://www.biral.ch/fileadmin/Media/images/Planungstools/PumpStationSelector_DWG/FPS_1000_2.25_75_BF_11_F1</v>
      </c>
      <c r="N124" s="382" t="s">
        <v>1199</v>
      </c>
      <c r="O124" s="473" t="s">
        <v>1327</v>
      </c>
      <c r="P124">
        <v>800</v>
      </c>
      <c r="Q124" s="443">
        <v>2.1800000000000002</v>
      </c>
      <c r="R124" s="433">
        <v>2.5</v>
      </c>
    </row>
    <row r="125" spans="11:18" x14ac:dyDescent="0.25">
      <c r="K125" s="382" t="s">
        <v>1389</v>
      </c>
      <c r="L125" s="386" t="s">
        <v>1002</v>
      </c>
      <c r="M125" s="432" t="str">
        <f t="shared" si="3"/>
        <v>http://www.biral.ch/fileadmin/Media/images/Planungstools/PumpStationSelector_DWG/FPS_1000_2.5_75_BF_11_F1</v>
      </c>
      <c r="N125" s="382" t="s">
        <v>1200</v>
      </c>
      <c r="O125" s="473" t="s">
        <v>1327</v>
      </c>
      <c r="P125">
        <v>800</v>
      </c>
      <c r="Q125" s="443">
        <v>2.19</v>
      </c>
      <c r="R125" s="433">
        <v>2.5</v>
      </c>
    </row>
    <row r="126" spans="11:18" x14ac:dyDescent="0.25">
      <c r="K126" s="382" t="s">
        <v>1390</v>
      </c>
      <c r="L126" s="386" t="s">
        <v>1003</v>
      </c>
      <c r="M126" s="432" t="str">
        <f t="shared" si="3"/>
        <v>http://www.biral.ch/fileadmin/Media/images/Planungstools/PumpStationSelector_DWG/FPS_1000_2.75_75_BF_11_F1</v>
      </c>
      <c r="N126" s="382" t="s">
        <v>1201</v>
      </c>
      <c r="O126" s="473" t="s">
        <v>1327</v>
      </c>
      <c r="P126">
        <v>800</v>
      </c>
      <c r="Q126" s="443">
        <v>2.2000000000000002</v>
      </c>
      <c r="R126" s="433">
        <v>2.5</v>
      </c>
    </row>
    <row r="127" spans="11:18" x14ac:dyDescent="0.25">
      <c r="K127" s="382" t="s">
        <v>1391</v>
      </c>
      <c r="L127" s="386" t="s">
        <v>1004</v>
      </c>
      <c r="M127" s="432" t="str">
        <f t="shared" si="3"/>
        <v>http://www.biral.ch/fileadmin/Media/images/Planungstools/PumpStationSelector_DWG/FPS_1000_3.0_75_BF_11_F1</v>
      </c>
      <c r="N127" s="382" t="s">
        <v>1202</v>
      </c>
      <c r="O127" s="473" t="s">
        <v>1327</v>
      </c>
      <c r="P127">
        <v>800</v>
      </c>
      <c r="Q127" s="443">
        <v>2.21</v>
      </c>
      <c r="R127" s="433">
        <v>2.5</v>
      </c>
    </row>
    <row r="128" spans="11:18" x14ac:dyDescent="0.25">
      <c r="K128" s="382" t="s">
        <v>1392</v>
      </c>
      <c r="L128" s="387" t="s">
        <v>1005</v>
      </c>
      <c r="M128" s="432" t="str">
        <f t="shared" si="3"/>
        <v>http://www.biral.ch/fileadmin/Media/images/Planungstools/PumpStationSelector_DWG/FPS_1000_1.75_75_BF_12_F1</v>
      </c>
      <c r="N128" s="382" t="s">
        <v>1203</v>
      </c>
      <c r="O128" s="473" t="s">
        <v>1327</v>
      </c>
      <c r="P128">
        <v>800</v>
      </c>
      <c r="Q128" s="443">
        <v>2.2200000000000002</v>
      </c>
      <c r="R128" s="433">
        <v>2.5</v>
      </c>
    </row>
    <row r="129" spans="11:18" x14ac:dyDescent="0.25">
      <c r="K129" s="382" t="s">
        <v>1393</v>
      </c>
      <c r="L129" s="385" t="s">
        <v>1006</v>
      </c>
      <c r="M129" s="432" t="str">
        <f t="shared" ref="M129:M139" si="8">$M$57&amp;N129</f>
        <v>http://www.biral.ch/fileadmin/Media/images/Planungstools/PumpStationSelector_DWG/FPS_1000_2.0_75_BF_12_F1</v>
      </c>
      <c r="N129" s="382" t="s">
        <v>1204</v>
      </c>
      <c r="O129" s="473" t="s">
        <v>1327</v>
      </c>
      <c r="P129">
        <v>800</v>
      </c>
      <c r="Q129" s="443">
        <v>2.23</v>
      </c>
      <c r="R129" s="433">
        <v>2.5</v>
      </c>
    </row>
    <row r="130" spans="11:18" x14ac:dyDescent="0.25">
      <c r="K130" s="382" t="s">
        <v>1394</v>
      </c>
      <c r="L130" s="385" t="s">
        <v>1007</v>
      </c>
      <c r="M130" s="432" t="str">
        <f t="shared" si="8"/>
        <v>http://www.biral.ch/fileadmin/Media/images/Planungstools/PumpStationSelector_DWG/FPS_1000_2.25_75_BF_12_F1</v>
      </c>
      <c r="N130" s="382" t="s">
        <v>1205</v>
      </c>
      <c r="O130" s="473" t="s">
        <v>1327</v>
      </c>
      <c r="P130">
        <v>800</v>
      </c>
      <c r="Q130" s="443">
        <v>2.2400000000000002</v>
      </c>
      <c r="R130" s="433">
        <v>2.5</v>
      </c>
    </row>
    <row r="131" spans="11:18" x14ac:dyDescent="0.25">
      <c r="K131" s="382" t="s">
        <v>1395</v>
      </c>
      <c r="L131" s="385" t="s">
        <v>1008</v>
      </c>
      <c r="M131" s="432" t="str">
        <f t="shared" si="8"/>
        <v>http://www.biral.ch/fileadmin/Media/images/Planungstools/PumpStationSelector_DWG/FPS_1000_2.5_75_BF_12_F1</v>
      </c>
      <c r="N131" s="382" t="s">
        <v>1206</v>
      </c>
      <c r="O131" s="473" t="s">
        <v>1327</v>
      </c>
      <c r="P131">
        <v>800</v>
      </c>
      <c r="Q131" s="443">
        <v>2.25</v>
      </c>
      <c r="R131" s="433">
        <v>2.5</v>
      </c>
    </row>
    <row r="132" spans="11:18" x14ac:dyDescent="0.25">
      <c r="K132" s="382" t="s">
        <v>1396</v>
      </c>
      <c r="L132" s="385" t="s">
        <v>1009</v>
      </c>
      <c r="M132" s="432" t="str">
        <f t="shared" si="8"/>
        <v>http://www.biral.ch/fileadmin/Media/images/Planungstools/PumpStationSelector_DWG/FPS_1000_2.75_75_BF_12_F1</v>
      </c>
      <c r="N132" s="382" t="s">
        <v>1207</v>
      </c>
      <c r="O132" s="473" t="s">
        <v>1327</v>
      </c>
      <c r="P132">
        <v>800</v>
      </c>
      <c r="Q132" s="443">
        <v>2.2599999999999998</v>
      </c>
      <c r="R132" s="433">
        <v>2.5</v>
      </c>
    </row>
    <row r="133" spans="11:18" x14ac:dyDescent="0.25">
      <c r="K133" s="382" t="s">
        <v>1397</v>
      </c>
      <c r="L133" s="385" t="s">
        <v>1010</v>
      </c>
      <c r="M133" s="432" t="str">
        <f t="shared" si="8"/>
        <v>http://www.biral.ch/fileadmin/Media/images/Planungstools/PumpStationSelector_DWG/FPS_1000_3.0_75_BF_12_F1</v>
      </c>
      <c r="N133" s="382" t="s">
        <v>1208</v>
      </c>
      <c r="O133" s="473" t="s">
        <v>1327</v>
      </c>
      <c r="P133">
        <v>800</v>
      </c>
      <c r="Q133" s="443">
        <v>2.27</v>
      </c>
      <c r="R133" s="433">
        <v>2.5</v>
      </c>
    </row>
    <row r="134" spans="11:18" x14ac:dyDescent="0.25">
      <c r="K134" s="382" t="s">
        <v>1398</v>
      </c>
      <c r="L134" s="385" t="s">
        <v>1011</v>
      </c>
      <c r="M134" s="432" t="str">
        <f t="shared" si="8"/>
        <v>http://www.biral.ch/fileadmin/Media/images/Planungstools/PumpStationSelector_DWG/nicht vorhanden</v>
      </c>
      <c r="N134" s="382" t="s">
        <v>1122</v>
      </c>
      <c r="P134">
        <v>800</v>
      </c>
      <c r="Q134" s="443">
        <v>2.2799999999999998</v>
      </c>
      <c r="R134" s="433">
        <v>2.5</v>
      </c>
    </row>
    <row r="135" spans="11:18" x14ac:dyDescent="0.25">
      <c r="K135" s="382" t="s">
        <v>1399</v>
      </c>
      <c r="L135" s="385" t="s">
        <v>1012</v>
      </c>
      <c r="M135" s="432" t="str">
        <f t="shared" si="8"/>
        <v>http://www.biral.ch/fileadmin/Media/images/Planungstools/PumpStationSelector_DWG/nicht vorhanden</v>
      </c>
      <c r="N135" s="382" t="s">
        <v>1122</v>
      </c>
      <c r="P135">
        <v>800</v>
      </c>
      <c r="Q135" s="443">
        <v>2.29</v>
      </c>
      <c r="R135" s="433">
        <v>2.5</v>
      </c>
    </row>
    <row r="136" spans="11:18" x14ac:dyDescent="0.25">
      <c r="K136" s="382" t="s">
        <v>1400</v>
      </c>
      <c r="L136" s="385" t="s">
        <v>1013</v>
      </c>
      <c r="M136" s="432" t="str">
        <f t="shared" si="8"/>
        <v>http://www.biral.ch/fileadmin/Media/images/Planungstools/PumpStationSelector_DWG/nicht vorhanden</v>
      </c>
      <c r="N136" s="382" t="s">
        <v>1122</v>
      </c>
      <c r="P136">
        <v>800</v>
      </c>
      <c r="Q136" s="443">
        <v>2.2999999999999998</v>
      </c>
      <c r="R136" s="433">
        <v>2.5</v>
      </c>
    </row>
    <row r="137" spans="11:18" x14ac:dyDescent="0.25">
      <c r="K137" s="382" t="s">
        <v>1401</v>
      </c>
      <c r="L137" s="385" t="s">
        <v>1014</v>
      </c>
      <c r="M137" s="432" t="str">
        <f t="shared" si="8"/>
        <v>http://www.biral.ch/fileadmin/Media/images/Planungstools/PumpStationSelector_DWG/nicht vorhanden</v>
      </c>
      <c r="N137" s="382" t="s">
        <v>1122</v>
      </c>
      <c r="P137">
        <v>800</v>
      </c>
      <c r="Q137" s="443">
        <v>2.31</v>
      </c>
      <c r="R137" s="433">
        <v>2.5</v>
      </c>
    </row>
    <row r="138" spans="11:18" x14ac:dyDescent="0.25">
      <c r="K138" s="382" t="s">
        <v>1402</v>
      </c>
      <c r="L138" s="385" t="s">
        <v>1015</v>
      </c>
      <c r="M138" s="432" t="str">
        <f t="shared" si="8"/>
        <v>http://www.biral.ch/fileadmin/Media/images/Planungstools/PumpStationSelector_DWG/nicht vorhanden</v>
      </c>
      <c r="N138" s="382" t="s">
        <v>1122</v>
      </c>
      <c r="P138">
        <v>800</v>
      </c>
      <c r="Q138" s="443">
        <v>2.3199999999999998</v>
      </c>
      <c r="R138" s="433">
        <v>2.5</v>
      </c>
    </row>
    <row r="139" spans="11:18" x14ac:dyDescent="0.25">
      <c r="K139" s="382" t="s">
        <v>1403</v>
      </c>
      <c r="L139" s="385" t="s">
        <v>1016</v>
      </c>
      <c r="M139" s="432" t="str">
        <f t="shared" si="8"/>
        <v>http://www.biral.ch/fileadmin/Media/images/Planungstools/PumpStationSelector_DWG/nicht vorhanden</v>
      </c>
      <c r="N139" s="382" t="s">
        <v>1122</v>
      </c>
      <c r="P139">
        <v>800</v>
      </c>
      <c r="Q139" s="443">
        <v>2.33</v>
      </c>
      <c r="R139" s="433">
        <v>2.5</v>
      </c>
    </row>
    <row r="140" spans="11:18" x14ac:dyDescent="0.25">
      <c r="M140" s="432" t="str">
        <f t="shared" ref="M140" si="9">$M$57&amp;N140</f>
        <v>http://www.biral.ch/fileadmin/Media/images/Planungstools/PumpStationSelector_DWG/nicht vorhanden</v>
      </c>
      <c r="N140" s="382" t="s">
        <v>1122</v>
      </c>
      <c r="P140">
        <v>800</v>
      </c>
      <c r="Q140" s="443">
        <v>2.34</v>
      </c>
      <c r="R140" s="433">
        <v>2.5</v>
      </c>
    </row>
    <row r="141" spans="11:18" x14ac:dyDescent="0.25">
      <c r="K141" s="382" t="s">
        <v>1404</v>
      </c>
      <c r="L141" s="434" t="s">
        <v>964</v>
      </c>
      <c r="M141" s="432" t="str">
        <f>$M$57&amp;N141</f>
        <v>http://www.biral.ch/fileadmin/Media/images/Planungstools/PumpStationSelector_DWG/FPS_1000_1.75_90_BF_11_F2</v>
      </c>
      <c r="N141" s="382" t="s">
        <v>1225</v>
      </c>
      <c r="O141" s="473" t="s">
        <v>1327</v>
      </c>
      <c r="P141">
        <v>800</v>
      </c>
      <c r="Q141" s="443">
        <v>2.35</v>
      </c>
      <c r="R141" s="433">
        <v>2.5</v>
      </c>
    </row>
    <row r="142" spans="11:18" x14ac:dyDescent="0.25">
      <c r="K142" s="382" t="s">
        <v>1405</v>
      </c>
      <c r="L142" s="383" t="s">
        <v>965</v>
      </c>
      <c r="M142" s="432" t="str">
        <f t="shared" ref="M142:M205" si="10">$M$57&amp;N142</f>
        <v>http://www.biral.ch/fileadmin/Media/images/Planungstools/PumpStationSelector_DWG/FPS_1000_2.0_90_BF_11_F2</v>
      </c>
      <c r="N142" s="382" t="s">
        <v>1226</v>
      </c>
      <c r="O142" s="473" t="s">
        <v>1327</v>
      </c>
      <c r="P142">
        <v>800</v>
      </c>
      <c r="Q142" s="443">
        <v>2.36</v>
      </c>
      <c r="R142" s="433">
        <v>2.5</v>
      </c>
    </row>
    <row r="143" spans="11:18" x14ac:dyDescent="0.25">
      <c r="K143" s="382" t="s">
        <v>1406</v>
      </c>
      <c r="L143" s="383" t="s">
        <v>966</v>
      </c>
      <c r="M143" s="432" t="str">
        <f t="shared" si="10"/>
        <v>http://www.biral.ch/fileadmin/Media/images/Planungstools/PumpStationSelector_DWG/FPS_1000_2.25_90_BF_11_F2</v>
      </c>
      <c r="N143" s="382" t="s">
        <v>1227</v>
      </c>
      <c r="O143" s="473" t="s">
        <v>1327</v>
      </c>
      <c r="P143">
        <v>800</v>
      </c>
      <c r="Q143" s="443">
        <v>2.37</v>
      </c>
      <c r="R143" s="433">
        <v>2.5</v>
      </c>
    </row>
    <row r="144" spans="11:18" x14ac:dyDescent="0.25">
      <c r="K144" s="382" t="s">
        <v>1407</v>
      </c>
      <c r="L144" s="383" t="s">
        <v>967</v>
      </c>
      <c r="M144" s="432" t="str">
        <f t="shared" si="10"/>
        <v>http://www.biral.ch/fileadmin/Media/images/Planungstools/PumpStationSelector_DWG/FPS_1000_2.5_90_BF_11_F2</v>
      </c>
      <c r="N144" s="382" t="s">
        <v>1228</v>
      </c>
      <c r="O144" s="473" t="s">
        <v>1327</v>
      </c>
      <c r="P144">
        <v>800</v>
      </c>
      <c r="Q144" s="443">
        <v>2.38</v>
      </c>
      <c r="R144" s="433">
        <v>2.5</v>
      </c>
    </row>
    <row r="145" spans="2:18" x14ac:dyDescent="0.25">
      <c r="K145" s="382" t="s">
        <v>1408</v>
      </c>
      <c r="L145" s="383" t="s">
        <v>968</v>
      </c>
      <c r="M145" s="432" t="str">
        <f t="shared" si="10"/>
        <v>http://www.biral.ch/fileadmin/Media/images/Planungstools/PumpStationSelector_DWG/FPS_1000_2.75_90_BF_11_F2</v>
      </c>
      <c r="N145" s="382" t="s">
        <v>1229</v>
      </c>
      <c r="O145" s="473" t="s">
        <v>1327</v>
      </c>
      <c r="P145">
        <v>800</v>
      </c>
      <c r="Q145" s="443">
        <v>2.39</v>
      </c>
      <c r="R145" s="433">
        <v>2.5</v>
      </c>
    </row>
    <row r="146" spans="2:18" x14ac:dyDescent="0.25">
      <c r="K146" s="382" t="s">
        <v>1409</v>
      </c>
      <c r="L146" s="383" t="s">
        <v>969</v>
      </c>
      <c r="M146" s="432" t="str">
        <f t="shared" si="10"/>
        <v>http://www.biral.ch/fileadmin/Media/images/Planungstools/PumpStationSelector_DWG/FPS_1000_3.0_90_BF_11_F2</v>
      </c>
      <c r="N146" s="382" t="s">
        <v>1230</v>
      </c>
      <c r="O146" s="473" t="s">
        <v>1327</v>
      </c>
      <c r="P146">
        <v>800</v>
      </c>
      <c r="Q146" s="443">
        <v>2.4</v>
      </c>
      <c r="R146" s="433">
        <v>2.5</v>
      </c>
    </row>
    <row r="147" spans="2:18" x14ac:dyDescent="0.25">
      <c r="K147" s="382" t="s">
        <v>1410</v>
      </c>
      <c r="L147" s="383" t="s">
        <v>970</v>
      </c>
      <c r="M147" s="432" t="str">
        <f t="shared" si="10"/>
        <v>http://www.biral.ch/fileadmin/Media/images/Planungstools/PumpStationSelector_DWG/FPS_1000_3.25_90_BF_11_F2</v>
      </c>
      <c r="N147" s="382" t="s">
        <v>1231</v>
      </c>
      <c r="O147" s="473" t="s">
        <v>1327</v>
      </c>
      <c r="P147">
        <v>800</v>
      </c>
      <c r="Q147" s="443">
        <v>2.41</v>
      </c>
      <c r="R147" s="433">
        <v>2.5</v>
      </c>
    </row>
    <row r="148" spans="2:18" x14ac:dyDescent="0.25">
      <c r="K148" s="382" t="s">
        <v>1411</v>
      </c>
      <c r="L148" s="383" t="s">
        <v>971</v>
      </c>
      <c r="M148" s="432" t="str">
        <f t="shared" si="10"/>
        <v>http://www.biral.ch/fileadmin/Media/images/Planungstools/PumpStationSelector_DWG/FPS_1000_3.5_90_BF_11_F2</v>
      </c>
      <c r="N148" s="382" t="s">
        <v>1232</v>
      </c>
      <c r="O148" s="473" t="s">
        <v>1327</v>
      </c>
      <c r="P148">
        <v>800</v>
      </c>
      <c r="Q148" s="443">
        <v>2.42</v>
      </c>
      <c r="R148" s="433">
        <v>2.5</v>
      </c>
    </row>
    <row r="149" spans="2:18" x14ac:dyDescent="0.25">
      <c r="K149" s="382" t="s">
        <v>1412</v>
      </c>
      <c r="L149" s="383" t="s">
        <v>972</v>
      </c>
      <c r="M149" s="432" t="str">
        <f t="shared" si="10"/>
        <v>http://www.biral.ch/fileadmin/Media/images/Planungstools/PumpStationSelector_DWG/FPS_1000_3.75_90_BF_11_F2</v>
      </c>
      <c r="N149" s="382" t="s">
        <v>1233</v>
      </c>
      <c r="O149" s="473" t="s">
        <v>1327</v>
      </c>
      <c r="P149">
        <v>800</v>
      </c>
      <c r="Q149" s="443">
        <v>2.4300000000000002</v>
      </c>
      <c r="R149" s="433">
        <v>2.5</v>
      </c>
    </row>
    <row r="150" spans="2:18" x14ac:dyDescent="0.25">
      <c r="K150" s="382" t="s">
        <v>1413</v>
      </c>
      <c r="L150" s="383" t="s">
        <v>973</v>
      </c>
      <c r="M150" s="432" t="str">
        <f t="shared" si="10"/>
        <v>http://www.biral.ch/fileadmin/Media/images/Planungstools/PumpStationSelector_DWG/FPS_1000_4.0_90_BF_11_F2</v>
      </c>
      <c r="N150" s="382" t="s">
        <v>1234</v>
      </c>
      <c r="O150" s="473" t="s">
        <v>1327</v>
      </c>
      <c r="P150">
        <v>800</v>
      </c>
      <c r="Q150" s="443">
        <v>2.44</v>
      </c>
      <c r="R150" s="433">
        <v>2.5</v>
      </c>
    </row>
    <row r="151" spans="2:18" x14ac:dyDescent="0.25">
      <c r="K151" s="382" t="s">
        <v>1414</v>
      </c>
      <c r="L151" s="383" t="s">
        <v>974</v>
      </c>
      <c r="M151" s="432" t="str">
        <f t="shared" si="10"/>
        <v>http://www.biral.ch/fileadmin/Media/images/Planungstools/PumpStationSelector_DWG/FPS_1000_4.25_90_BF_11_F2</v>
      </c>
      <c r="N151" s="382" t="s">
        <v>1235</v>
      </c>
      <c r="O151" s="473" t="s">
        <v>1327</v>
      </c>
      <c r="P151">
        <v>800</v>
      </c>
      <c r="Q151" s="443">
        <v>2.4500000000000002</v>
      </c>
      <c r="R151" s="433">
        <v>2.5</v>
      </c>
    </row>
    <row r="152" spans="2:18" x14ac:dyDescent="0.25">
      <c r="K152" s="382" t="s">
        <v>1415</v>
      </c>
      <c r="L152" s="383" t="s">
        <v>975</v>
      </c>
      <c r="M152" s="432" t="str">
        <f t="shared" si="10"/>
        <v>http://www.biral.ch/fileadmin/Media/images/Planungstools/PumpStationSelector_DWG/FPS_1000_4.5_90_BF_11_F2</v>
      </c>
      <c r="N152" s="382" t="s">
        <v>1236</v>
      </c>
      <c r="O152" s="473" t="s">
        <v>1327</v>
      </c>
      <c r="P152">
        <v>800</v>
      </c>
      <c r="Q152" s="443">
        <v>2.46</v>
      </c>
      <c r="R152" s="433">
        <v>2.5</v>
      </c>
    </row>
    <row r="153" spans="2:18" x14ac:dyDescent="0.25">
      <c r="K153" s="382" t="s">
        <v>1416</v>
      </c>
      <c r="L153" s="383" t="s">
        <v>976</v>
      </c>
      <c r="M153" s="432" t="str">
        <f t="shared" si="10"/>
        <v>http://www.biral.ch/fileadmin/Media/images/Planungstools/PumpStationSelector_DWG/FPS_1000_4.75_90_BF_11_F2</v>
      </c>
      <c r="N153" s="382" t="s">
        <v>1237</v>
      </c>
      <c r="O153" s="473" t="s">
        <v>1327</v>
      </c>
      <c r="P153">
        <v>800</v>
      </c>
      <c r="Q153" s="443">
        <v>2.4700000000000002</v>
      </c>
      <c r="R153" s="433">
        <v>2.5</v>
      </c>
    </row>
    <row r="154" spans="2:18" x14ac:dyDescent="0.25">
      <c r="K154" s="382" t="s">
        <v>1417</v>
      </c>
      <c r="L154" s="383" t="s">
        <v>977</v>
      </c>
      <c r="M154" s="432" t="str">
        <f t="shared" si="10"/>
        <v>http://www.biral.ch/fileadmin/Media/images/Planungstools/PumpStationSelector_DWG/FPS_1000_5.0_90_BF_11_F2</v>
      </c>
      <c r="N154" s="382" t="s">
        <v>1238</v>
      </c>
      <c r="O154" s="473" t="s">
        <v>1327</v>
      </c>
      <c r="P154">
        <v>800</v>
      </c>
      <c r="Q154" s="443">
        <v>2.48</v>
      </c>
      <c r="R154" s="433">
        <v>2.5</v>
      </c>
    </row>
    <row r="155" spans="2:18" x14ac:dyDescent="0.25">
      <c r="K155" s="382" t="s">
        <v>1418</v>
      </c>
      <c r="L155" s="383" t="s">
        <v>978</v>
      </c>
      <c r="M155" s="432" t="str">
        <f t="shared" si="10"/>
        <v>http://www.biral.ch/fileadmin/Media/images/Planungstools/PumpStationSelector_DWG/FPS_1000_5.25_90_BF_11_F2</v>
      </c>
      <c r="N155" s="382" t="s">
        <v>1239</v>
      </c>
      <c r="O155" s="473" t="s">
        <v>1327</v>
      </c>
      <c r="P155">
        <v>800</v>
      </c>
      <c r="Q155" s="443">
        <v>2.4900000000000002</v>
      </c>
      <c r="R155" s="433">
        <v>2.5</v>
      </c>
    </row>
    <row r="156" spans="2:18" x14ac:dyDescent="0.25">
      <c r="K156" s="382" t="s">
        <v>1419</v>
      </c>
      <c r="L156" s="383" t="s">
        <v>979</v>
      </c>
      <c r="M156" s="432" t="str">
        <f t="shared" si="10"/>
        <v>http://www.biral.ch/fileadmin/Media/images/Planungstools/PumpStationSelector_DWG/FPS_1000_5.5_90_BF_11_F2</v>
      </c>
      <c r="N156" s="382" t="s">
        <v>1240</v>
      </c>
      <c r="O156" s="473" t="s">
        <v>1327</v>
      </c>
      <c r="P156">
        <v>800</v>
      </c>
      <c r="Q156" s="443">
        <v>2.5</v>
      </c>
      <c r="R156" s="433">
        <v>2.5</v>
      </c>
    </row>
    <row r="157" spans="2:18" x14ac:dyDescent="0.25">
      <c r="B157" t="s">
        <v>1117</v>
      </c>
      <c r="C157" t="s">
        <v>1118</v>
      </c>
      <c r="D157" t="s">
        <v>1653</v>
      </c>
      <c r="E157" t="s">
        <v>1119</v>
      </c>
      <c r="F157" t="s">
        <v>1115</v>
      </c>
      <c r="G157" t="s">
        <v>1116</v>
      </c>
      <c r="K157" s="382" t="s">
        <v>1420</v>
      </c>
      <c r="L157" s="384" t="str">
        <f>Sprachen!$E$266</f>
        <v>nessuno</v>
      </c>
      <c r="M157" s="432" t="str">
        <f t="shared" si="10"/>
        <v>http://www.biral.ch/fileadmin/Media/images/Planungstools/PumpStationSelector_DWG/FPS_1000_1.75_63_BF_12_F2</v>
      </c>
      <c r="N157" s="382" t="s">
        <v>1253</v>
      </c>
      <c r="O157" s="473" t="s">
        <v>1327</v>
      </c>
      <c r="P157">
        <v>800</v>
      </c>
      <c r="Q157" s="443">
        <v>2.5099999999999998</v>
      </c>
      <c r="R157" s="433">
        <v>2.5</v>
      </c>
    </row>
    <row r="158" spans="2:18" x14ac:dyDescent="0.25">
      <c r="B158">
        <v>1600</v>
      </c>
      <c r="C158">
        <v>1500</v>
      </c>
      <c r="D158">
        <f>B158+20</f>
        <v>1620</v>
      </c>
      <c r="E158" t="s">
        <v>1114</v>
      </c>
      <c r="F158" t="s">
        <v>1113</v>
      </c>
      <c r="K158" s="382" t="s">
        <v>1421</v>
      </c>
      <c r="L158" s="384" t="str">
        <f>Sprachen!$E$266</f>
        <v>nessuno</v>
      </c>
      <c r="M158" s="432" t="str">
        <f t="shared" si="10"/>
        <v>http://www.biral.ch/fileadmin/Media/images/Planungstools/PumpStationSelector_DWG/FPS_1000_2.0_63_BF_12_F2</v>
      </c>
      <c r="N158" s="382" t="s">
        <v>1254</v>
      </c>
      <c r="O158" s="473" t="s">
        <v>1327</v>
      </c>
      <c r="P158">
        <v>800</v>
      </c>
      <c r="Q158" s="443">
        <v>2.52</v>
      </c>
      <c r="R158" s="433">
        <v>2.5</v>
      </c>
    </row>
    <row r="159" spans="2:18" x14ac:dyDescent="0.25">
      <c r="B159">
        <v>1850</v>
      </c>
      <c r="C159">
        <v>1750</v>
      </c>
      <c r="D159">
        <f t="shared" ref="D159:D176" si="11">B159+20</f>
        <v>1870</v>
      </c>
      <c r="E159" t="s">
        <v>1121</v>
      </c>
      <c r="F159" t="s">
        <v>1120</v>
      </c>
      <c r="K159" s="382" t="s">
        <v>1422</v>
      </c>
      <c r="L159" s="384" t="str">
        <f>Sprachen!$E$266</f>
        <v>nessuno</v>
      </c>
      <c r="M159" s="432" t="str">
        <f t="shared" si="10"/>
        <v>http://www.biral.ch/fileadmin/Media/images/Planungstools/PumpStationSelector_DWG/FPS_1000_2.25_63_BF_12_F2</v>
      </c>
      <c r="N159" s="382" t="s">
        <v>1255</v>
      </c>
      <c r="O159" s="473" t="s">
        <v>1327</v>
      </c>
      <c r="P159">
        <v>800</v>
      </c>
      <c r="Q159" s="443">
        <v>2.5299999999999998</v>
      </c>
      <c r="R159" s="433">
        <v>2.5</v>
      </c>
    </row>
    <row r="160" spans="2:18" x14ac:dyDescent="0.25">
      <c r="B160">
        <v>2100</v>
      </c>
      <c r="C160">
        <v>2000</v>
      </c>
      <c r="D160">
        <f t="shared" si="11"/>
        <v>2120</v>
      </c>
      <c r="E160" t="s">
        <v>1643</v>
      </c>
      <c r="K160" s="382" t="s">
        <v>1423</v>
      </c>
      <c r="L160" s="384" t="str">
        <f>Sprachen!$E$266</f>
        <v>nessuno</v>
      </c>
      <c r="M160" s="432" t="str">
        <f t="shared" si="10"/>
        <v>http://www.biral.ch/fileadmin/Media/images/Planungstools/PumpStationSelector_DWG/FPS_1000_2.5_63_BF_12_F2</v>
      </c>
      <c r="N160" s="382" t="s">
        <v>1256</v>
      </c>
      <c r="O160" s="473" t="s">
        <v>1327</v>
      </c>
      <c r="P160">
        <v>800</v>
      </c>
      <c r="Q160" s="443">
        <v>2.54</v>
      </c>
      <c r="R160" s="433">
        <v>2.5</v>
      </c>
    </row>
    <row r="161" spans="2:18" x14ac:dyDescent="0.25">
      <c r="B161">
        <v>2350</v>
      </c>
      <c r="C161">
        <v>2250</v>
      </c>
      <c r="D161">
        <f t="shared" si="11"/>
        <v>2370</v>
      </c>
      <c r="E161" t="s">
        <v>1644</v>
      </c>
      <c r="K161" s="382" t="s">
        <v>1424</v>
      </c>
      <c r="L161" s="384" t="str">
        <f>Sprachen!$E$266</f>
        <v>nessuno</v>
      </c>
      <c r="M161" s="432" t="str">
        <f t="shared" si="10"/>
        <v>http://www.biral.ch/fileadmin/Media/images/Planungstools/PumpStationSelector_DWG/FPS_1000_2.75_63_BF_12_F2</v>
      </c>
      <c r="N161" s="382" t="s">
        <v>1257</v>
      </c>
      <c r="O161" s="473" t="s">
        <v>1327</v>
      </c>
      <c r="P161">
        <v>800</v>
      </c>
      <c r="Q161" s="443">
        <v>2.5499999999999998</v>
      </c>
      <c r="R161" s="433">
        <v>2.5</v>
      </c>
    </row>
    <row r="162" spans="2:18" x14ac:dyDescent="0.25">
      <c r="B162">
        <v>2600</v>
      </c>
      <c r="C162">
        <v>2500</v>
      </c>
      <c r="D162">
        <f t="shared" si="11"/>
        <v>2620</v>
      </c>
      <c r="K162" s="382" t="s">
        <v>1425</v>
      </c>
      <c r="L162" s="384" t="str">
        <f>Sprachen!$E$266</f>
        <v>nessuno</v>
      </c>
      <c r="M162" s="432" t="str">
        <f t="shared" si="10"/>
        <v>http://www.biral.ch/fileadmin/Media/images/Planungstools/PumpStationSelector_DWG/FPS_1000_3.0_63_BF_12_F2</v>
      </c>
      <c r="N162" s="382" t="s">
        <v>1258</v>
      </c>
      <c r="O162" s="473" t="s">
        <v>1327</v>
      </c>
      <c r="P162">
        <v>800</v>
      </c>
      <c r="Q162" s="443">
        <v>2.56</v>
      </c>
      <c r="R162" s="433">
        <v>2.5</v>
      </c>
    </row>
    <row r="163" spans="2:18" x14ac:dyDescent="0.25">
      <c r="B163">
        <v>2850</v>
      </c>
      <c r="C163">
        <v>2750</v>
      </c>
      <c r="D163">
        <f t="shared" si="11"/>
        <v>2870</v>
      </c>
      <c r="K163" s="382" t="s">
        <v>1426</v>
      </c>
      <c r="L163" s="385" t="s">
        <v>981</v>
      </c>
      <c r="M163" s="432" t="str">
        <f t="shared" si="10"/>
        <v>http://www.biral.ch/fileadmin/Media/images/Planungstools/PumpStationSelector_DWG/FPS_1000_1.75_63_BF_12_F2</v>
      </c>
      <c r="N163" s="382" t="s">
        <v>1253</v>
      </c>
      <c r="O163" s="473" t="s">
        <v>1327</v>
      </c>
      <c r="P163">
        <v>800</v>
      </c>
      <c r="Q163" s="443">
        <v>2.57</v>
      </c>
      <c r="R163" s="433">
        <v>2.5</v>
      </c>
    </row>
    <row r="164" spans="2:18" x14ac:dyDescent="0.25">
      <c r="B164">
        <v>3100</v>
      </c>
      <c r="C164">
        <v>3000</v>
      </c>
      <c r="D164">
        <f t="shared" si="11"/>
        <v>3120</v>
      </c>
      <c r="K164" s="382" t="s">
        <v>1427</v>
      </c>
      <c r="L164" s="385" t="s">
        <v>982</v>
      </c>
      <c r="M164" s="432" t="str">
        <f t="shared" si="10"/>
        <v>http://www.biral.ch/fileadmin/Media/images/Planungstools/PumpStationSelector_DWG/FPS_1000_2.0_63_BF_12_F2</v>
      </c>
      <c r="N164" s="382" t="s">
        <v>1254</v>
      </c>
      <c r="O164" s="473" t="s">
        <v>1327</v>
      </c>
      <c r="P164">
        <v>800</v>
      </c>
      <c r="Q164" s="443">
        <v>2.58</v>
      </c>
      <c r="R164" s="433">
        <v>2.5</v>
      </c>
    </row>
    <row r="165" spans="2:18" x14ac:dyDescent="0.25">
      <c r="B165">
        <v>3350</v>
      </c>
      <c r="C165">
        <v>3250</v>
      </c>
      <c r="D165">
        <f t="shared" si="11"/>
        <v>3370</v>
      </c>
      <c r="K165" s="382" t="s">
        <v>1428</v>
      </c>
      <c r="L165" s="385" t="s">
        <v>983</v>
      </c>
      <c r="M165" s="432" t="str">
        <f t="shared" si="10"/>
        <v>http://www.biral.ch/fileadmin/Media/images/Planungstools/PumpStationSelector_DWG/FPS_1000_2.25_63_BF_12_F2</v>
      </c>
      <c r="N165" s="382" t="s">
        <v>1255</v>
      </c>
      <c r="O165" s="473" t="s">
        <v>1327</v>
      </c>
      <c r="P165">
        <v>800</v>
      </c>
      <c r="Q165" s="443">
        <v>2.59</v>
      </c>
      <c r="R165" s="433">
        <v>2.5</v>
      </c>
    </row>
    <row r="166" spans="2:18" x14ac:dyDescent="0.25">
      <c r="B166">
        <v>3600</v>
      </c>
      <c r="C166">
        <v>3500</v>
      </c>
      <c r="D166">
        <f t="shared" si="11"/>
        <v>3620</v>
      </c>
      <c r="K166" s="382" t="s">
        <v>1429</v>
      </c>
      <c r="L166" s="385" t="s">
        <v>984</v>
      </c>
      <c r="M166" s="432" t="str">
        <f t="shared" si="10"/>
        <v>http://www.biral.ch/fileadmin/Media/images/Planungstools/PumpStationSelector_DWG/FPS_1000_2.5_63_BF_12_F2</v>
      </c>
      <c r="N166" s="382" t="s">
        <v>1256</v>
      </c>
      <c r="O166" s="473" t="s">
        <v>1327</v>
      </c>
      <c r="P166">
        <v>800</v>
      </c>
      <c r="Q166" s="443">
        <v>2.6</v>
      </c>
      <c r="R166" s="433">
        <v>2.5</v>
      </c>
    </row>
    <row r="167" spans="2:18" x14ac:dyDescent="0.25">
      <c r="B167">
        <v>3850</v>
      </c>
      <c r="C167">
        <v>3750</v>
      </c>
      <c r="D167">
        <f t="shared" si="11"/>
        <v>3870</v>
      </c>
      <c r="K167" s="382" t="s">
        <v>1430</v>
      </c>
      <c r="L167" s="385" t="s">
        <v>985</v>
      </c>
      <c r="M167" s="432" t="str">
        <f t="shared" si="10"/>
        <v>http://www.biral.ch/fileadmin/Media/images/Planungstools/PumpStationSelector_DWG/FPS_1000_2.75_63_BF_12_F2</v>
      </c>
      <c r="N167" s="382" t="s">
        <v>1257</v>
      </c>
      <c r="O167" s="473" t="s">
        <v>1327</v>
      </c>
    </row>
    <row r="168" spans="2:18" x14ac:dyDescent="0.25">
      <c r="B168">
        <v>4100</v>
      </c>
      <c r="C168">
        <v>4000</v>
      </c>
      <c r="D168">
        <f t="shared" si="11"/>
        <v>4120</v>
      </c>
      <c r="K168" s="382" t="s">
        <v>1431</v>
      </c>
      <c r="L168" s="385" t="s">
        <v>986</v>
      </c>
      <c r="M168" s="432" t="str">
        <f t="shared" si="10"/>
        <v>http://www.biral.ch/fileadmin/Media/images/Planungstools/PumpStationSelector_DWG/FPS_1000_3.0_63_BF_12_F2</v>
      </c>
      <c r="N168" s="382" t="s">
        <v>1258</v>
      </c>
      <c r="O168" s="473" t="s">
        <v>1327</v>
      </c>
      <c r="P168">
        <v>1000</v>
      </c>
      <c r="Q168" s="388">
        <v>1.69</v>
      </c>
      <c r="R168" s="433">
        <v>1.75</v>
      </c>
    </row>
    <row r="169" spans="2:18" x14ac:dyDescent="0.25">
      <c r="B169">
        <v>4350</v>
      </c>
      <c r="C169">
        <v>4250</v>
      </c>
      <c r="D169">
        <f t="shared" si="11"/>
        <v>4370</v>
      </c>
      <c r="K169" s="382" t="s">
        <v>1432</v>
      </c>
      <c r="L169" s="385" t="s">
        <v>981</v>
      </c>
      <c r="M169" s="432" t="str">
        <f t="shared" si="10"/>
        <v>http://www.biral.ch/fileadmin/Media/images/Planungstools/PumpStationSelector_DWG/FPS_1000_1.75_63_BF_12_F2</v>
      </c>
      <c r="N169" s="382" t="s">
        <v>1253</v>
      </c>
      <c r="O169" s="473" t="s">
        <v>1327</v>
      </c>
      <c r="P169">
        <v>1000</v>
      </c>
      <c r="Q169" s="388">
        <v>1.7</v>
      </c>
      <c r="R169" s="433">
        <v>1.75</v>
      </c>
    </row>
    <row r="170" spans="2:18" x14ac:dyDescent="0.25">
      <c r="B170">
        <v>4600</v>
      </c>
      <c r="C170">
        <v>4500</v>
      </c>
      <c r="D170">
        <f t="shared" si="11"/>
        <v>4620</v>
      </c>
      <c r="K170" s="382" t="s">
        <v>1433</v>
      </c>
      <c r="L170" s="385" t="s">
        <v>982</v>
      </c>
      <c r="M170" s="432" t="str">
        <f t="shared" si="10"/>
        <v>http://www.biral.ch/fileadmin/Media/images/Planungstools/PumpStationSelector_DWG/FPS_1000_2.0_63_BF_12_F2</v>
      </c>
      <c r="N170" s="382" t="s">
        <v>1254</v>
      </c>
      <c r="O170" s="473" t="s">
        <v>1327</v>
      </c>
      <c r="P170">
        <v>1000</v>
      </c>
      <c r="Q170" s="388">
        <v>1.71</v>
      </c>
      <c r="R170" s="433">
        <v>1.75</v>
      </c>
    </row>
    <row r="171" spans="2:18" x14ac:dyDescent="0.25">
      <c r="B171">
        <v>4850</v>
      </c>
      <c r="C171">
        <v>4750</v>
      </c>
      <c r="D171">
        <f t="shared" si="11"/>
        <v>4870</v>
      </c>
      <c r="K171" s="382" t="s">
        <v>1434</v>
      </c>
      <c r="L171" s="385" t="s">
        <v>983</v>
      </c>
      <c r="M171" s="432" t="str">
        <f t="shared" si="10"/>
        <v>http://www.biral.ch/fileadmin/Media/images/Planungstools/PumpStationSelector_DWG/FPS_1000_2.25_63_BF_12_F2</v>
      </c>
      <c r="N171" s="382" t="s">
        <v>1255</v>
      </c>
      <c r="O171" s="473" t="s">
        <v>1327</v>
      </c>
      <c r="P171">
        <v>1000</v>
      </c>
      <c r="Q171" s="388">
        <v>1.72</v>
      </c>
      <c r="R171" s="433">
        <v>1.75</v>
      </c>
    </row>
    <row r="172" spans="2:18" x14ac:dyDescent="0.25">
      <c r="B172">
        <v>5100</v>
      </c>
      <c r="C172">
        <v>5000</v>
      </c>
      <c r="D172">
        <f t="shared" si="11"/>
        <v>5120</v>
      </c>
      <c r="K172" s="382" t="s">
        <v>1435</v>
      </c>
      <c r="L172" s="385" t="s">
        <v>984</v>
      </c>
      <c r="M172" s="432" t="str">
        <f t="shared" si="10"/>
        <v>http://www.biral.ch/fileadmin/Media/images/Planungstools/PumpStationSelector_DWG/FPS_1000_2.5_63_BF_12_F2</v>
      </c>
      <c r="N172" s="382" t="s">
        <v>1256</v>
      </c>
      <c r="O172" s="473" t="s">
        <v>1327</v>
      </c>
      <c r="P172">
        <v>1000</v>
      </c>
      <c r="Q172" s="388">
        <v>1.73</v>
      </c>
      <c r="R172" s="433">
        <v>1.75</v>
      </c>
    </row>
    <row r="173" spans="2:18" x14ac:dyDescent="0.25">
      <c r="B173">
        <v>5350</v>
      </c>
      <c r="C173">
        <v>5250</v>
      </c>
      <c r="D173">
        <f t="shared" si="11"/>
        <v>5370</v>
      </c>
      <c r="K173" s="382" t="s">
        <v>1436</v>
      </c>
      <c r="L173" s="385" t="s">
        <v>985</v>
      </c>
      <c r="M173" s="432" t="str">
        <f t="shared" si="10"/>
        <v>http://www.biral.ch/fileadmin/Media/images/Planungstools/PumpStationSelector_DWG/FPS_1000_2.75_63_BF_12_F2</v>
      </c>
      <c r="N173" s="382" t="s">
        <v>1257</v>
      </c>
      <c r="O173" s="473" t="s">
        <v>1327</v>
      </c>
      <c r="P173">
        <v>1000</v>
      </c>
      <c r="Q173" s="388">
        <v>1.74</v>
      </c>
      <c r="R173" s="433">
        <v>1.75</v>
      </c>
    </row>
    <row r="174" spans="2:18" x14ac:dyDescent="0.25">
      <c r="B174">
        <v>5600</v>
      </c>
      <c r="C174">
        <v>5500</v>
      </c>
      <c r="D174">
        <f t="shared" si="11"/>
        <v>5620</v>
      </c>
      <c r="K174" s="382" t="s">
        <v>1437</v>
      </c>
      <c r="L174" s="385" t="s">
        <v>986</v>
      </c>
      <c r="M174" s="432" t="str">
        <f t="shared" si="10"/>
        <v>http://www.biral.ch/fileadmin/Media/images/Planungstools/PumpStationSelector_DWG/FPS_1000_3.0_63_BF_12_F2</v>
      </c>
      <c r="N174" s="382" t="s">
        <v>1258</v>
      </c>
      <c r="O174" s="473" t="s">
        <v>1327</v>
      </c>
      <c r="P174">
        <v>1000</v>
      </c>
      <c r="Q174" s="388">
        <v>1.75</v>
      </c>
      <c r="R174" s="433">
        <v>1.75</v>
      </c>
    </row>
    <row r="175" spans="2:18" x14ac:dyDescent="0.25">
      <c r="B175">
        <v>5850</v>
      </c>
      <c r="C175">
        <v>5750</v>
      </c>
      <c r="D175">
        <f t="shared" si="11"/>
        <v>5870</v>
      </c>
      <c r="K175" s="382" t="s">
        <v>1438</v>
      </c>
      <c r="L175" s="385" t="s">
        <v>981</v>
      </c>
      <c r="M175" s="432" t="str">
        <f t="shared" si="10"/>
        <v>http://www.biral.ch/fileadmin/Media/images/Planungstools/PumpStationSelector_DWG/FPS_1000_1.75_63_BF_12_F2</v>
      </c>
      <c r="N175" s="382" t="s">
        <v>1253</v>
      </c>
      <c r="O175" s="473" t="s">
        <v>1327</v>
      </c>
      <c r="P175">
        <v>1000</v>
      </c>
      <c r="Q175" s="388">
        <v>1.76</v>
      </c>
      <c r="R175" s="433">
        <v>1.75</v>
      </c>
    </row>
    <row r="176" spans="2:18" x14ac:dyDescent="0.25">
      <c r="C176">
        <v>6000</v>
      </c>
      <c r="D176">
        <f t="shared" si="11"/>
        <v>20</v>
      </c>
      <c r="K176" s="382" t="s">
        <v>1439</v>
      </c>
      <c r="L176" s="385" t="s">
        <v>982</v>
      </c>
      <c r="M176" s="432" t="str">
        <f t="shared" si="10"/>
        <v>http://www.biral.ch/fileadmin/Media/images/Planungstools/PumpStationSelector_DWG/FPS_1000_2.0_63_BF_12_F2</v>
      </c>
      <c r="N176" s="382" t="s">
        <v>1254</v>
      </c>
      <c r="O176" s="473" t="s">
        <v>1327</v>
      </c>
      <c r="P176">
        <v>1000</v>
      </c>
      <c r="Q176" s="388">
        <v>1.77</v>
      </c>
      <c r="R176" s="433">
        <v>1.75</v>
      </c>
    </row>
    <row r="177" spans="11:18" x14ac:dyDescent="0.25">
      <c r="K177" s="382" t="s">
        <v>1440</v>
      </c>
      <c r="L177" s="385" t="s">
        <v>983</v>
      </c>
      <c r="M177" s="432" t="str">
        <f t="shared" si="10"/>
        <v>http://www.biral.ch/fileadmin/Media/images/Planungstools/PumpStationSelector_DWG/FPS_1000_2.25_63_BF_12_F2</v>
      </c>
      <c r="N177" s="382" t="s">
        <v>1255</v>
      </c>
      <c r="O177" s="473" t="s">
        <v>1327</v>
      </c>
      <c r="P177">
        <v>1000</v>
      </c>
      <c r="Q177" s="388">
        <v>1.78</v>
      </c>
      <c r="R177" s="433">
        <v>1.75</v>
      </c>
    </row>
    <row r="178" spans="11:18" x14ac:dyDescent="0.25">
      <c r="K178" s="382" t="s">
        <v>1441</v>
      </c>
      <c r="L178" s="385" t="s">
        <v>984</v>
      </c>
      <c r="M178" s="432" t="str">
        <f t="shared" si="10"/>
        <v>http://www.biral.ch/fileadmin/Media/images/Planungstools/PumpStationSelector_DWG/FPS_1000_2.5_63_BF_12_F2</v>
      </c>
      <c r="N178" s="382" t="s">
        <v>1256</v>
      </c>
      <c r="O178" s="473" t="s">
        <v>1327</v>
      </c>
      <c r="P178">
        <v>1000</v>
      </c>
      <c r="Q178" s="388">
        <v>1.79</v>
      </c>
      <c r="R178" s="433">
        <v>1.75</v>
      </c>
    </row>
    <row r="179" spans="11:18" x14ac:dyDescent="0.25">
      <c r="K179" s="382" t="s">
        <v>1442</v>
      </c>
      <c r="L179" s="385" t="s">
        <v>985</v>
      </c>
      <c r="M179" s="432" t="str">
        <f t="shared" si="10"/>
        <v>http://www.biral.ch/fileadmin/Media/images/Planungstools/PumpStationSelector_DWG/FPS_1000_2.75_63_BF_12_F2</v>
      </c>
      <c r="N179" s="382" t="s">
        <v>1257</v>
      </c>
      <c r="O179" s="473" t="s">
        <v>1327</v>
      </c>
      <c r="P179">
        <v>1000</v>
      </c>
      <c r="Q179" s="388">
        <v>1.8</v>
      </c>
      <c r="R179" s="433">
        <v>1.75</v>
      </c>
    </row>
    <row r="180" spans="11:18" x14ac:dyDescent="0.25">
      <c r="K180" s="382" t="s">
        <v>1443</v>
      </c>
      <c r="L180" s="385" t="s">
        <v>986</v>
      </c>
      <c r="M180" s="432" t="str">
        <f t="shared" si="10"/>
        <v>http://www.biral.ch/fileadmin/Media/images/Planungstools/PumpStationSelector_DWG/FPS_1000_3.0_63_BF_12_F2</v>
      </c>
      <c r="N180" s="382" t="s">
        <v>1258</v>
      </c>
      <c r="O180" s="473" t="s">
        <v>1327</v>
      </c>
      <c r="P180">
        <v>1000</v>
      </c>
      <c r="Q180" s="388">
        <v>1.81</v>
      </c>
      <c r="R180" s="433">
        <v>1.75</v>
      </c>
    </row>
    <row r="181" spans="11:18" x14ac:dyDescent="0.25">
      <c r="K181" s="382" t="s">
        <v>1444</v>
      </c>
      <c r="L181" s="385" t="s">
        <v>987</v>
      </c>
      <c r="M181" s="432" t="str">
        <f t="shared" si="10"/>
        <v>http://www.biral.ch/fileadmin/Media/images/Planungstools/PumpStationSelector_DWG/FPS_1000_1.75_63_BF_11_F2</v>
      </c>
      <c r="N181" s="382" t="s">
        <v>1259</v>
      </c>
      <c r="O181" s="473" t="s">
        <v>1327</v>
      </c>
      <c r="P181">
        <v>1000</v>
      </c>
      <c r="Q181" s="388">
        <v>1.82</v>
      </c>
      <c r="R181" s="433">
        <v>1.75</v>
      </c>
    </row>
    <row r="182" spans="11:18" x14ac:dyDescent="0.25">
      <c r="K182" s="382" t="s">
        <v>1445</v>
      </c>
      <c r="L182" s="385" t="s">
        <v>988</v>
      </c>
      <c r="M182" s="432" t="str">
        <f t="shared" si="10"/>
        <v>http://www.biral.ch/fileadmin/Media/images/Planungstools/PumpStationSelector_DWG/FPS_1000_2.0_63_BF_11_F2</v>
      </c>
      <c r="N182" s="382" t="s">
        <v>1260</v>
      </c>
      <c r="O182" s="473" t="s">
        <v>1327</v>
      </c>
      <c r="P182">
        <v>1000</v>
      </c>
      <c r="Q182" s="388">
        <v>1.83</v>
      </c>
      <c r="R182" s="433">
        <v>1.75</v>
      </c>
    </row>
    <row r="183" spans="11:18" x14ac:dyDescent="0.25">
      <c r="K183" s="382" t="s">
        <v>1446</v>
      </c>
      <c r="L183" s="385" t="s">
        <v>989</v>
      </c>
      <c r="M183" s="432" t="str">
        <f t="shared" si="10"/>
        <v>http://www.biral.ch/fileadmin/Media/images/Planungstools/PumpStationSelector_DWG/FPS_1000_2.25_63_BF_11_F2</v>
      </c>
      <c r="N183" s="382" t="s">
        <v>1261</v>
      </c>
      <c r="O183" s="473" t="s">
        <v>1327</v>
      </c>
      <c r="P183">
        <v>1000</v>
      </c>
      <c r="Q183" s="388">
        <v>1.84</v>
      </c>
      <c r="R183" s="433">
        <v>1.75</v>
      </c>
    </row>
    <row r="184" spans="11:18" x14ac:dyDescent="0.25">
      <c r="K184" s="382" t="s">
        <v>1447</v>
      </c>
      <c r="L184" s="385" t="s">
        <v>990</v>
      </c>
      <c r="M184" s="432" t="str">
        <f t="shared" si="10"/>
        <v>http://www.biral.ch/fileadmin/Media/images/Planungstools/PumpStationSelector_DWG/FPS_1000_2.5_63_BF_11_F2</v>
      </c>
      <c r="N184" s="382" t="s">
        <v>1262</v>
      </c>
      <c r="O184" s="473" t="s">
        <v>1327</v>
      </c>
      <c r="P184">
        <v>1000</v>
      </c>
      <c r="Q184" s="388">
        <v>1.85</v>
      </c>
      <c r="R184" s="433">
        <v>1.75</v>
      </c>
    </row>
    <row r="185" spans="11:18" x14ac:dyDescent="0.25">
      <c r="K185" s="382" t="s">
        <v>1448</v>
      </c>
      <c r="L185" s="385" t="s">
        <v>991</v>
      </c>
      <c r="M185" s="432" t="str">
        <f t="shared" si="10"/>
        <v>http://www.biral.ch/fileadmin/Media/images/Planungstools/PumpStationSelector_DWG/FPS_1000_2.75_63_BF_11_F2</v>
      </c>
      <c r="N185" s="382" t="s">
        <v>1263</v>
      </c>
      <c r="O185" s="473" t="s">
        <v>1327</v>
      </c>
      <c r="P185">
        <v>1000</v>
      </c>
      <c r="Q185" s="388">
        <v>1.86</v>
      </c>
      <c r="R185" s="433">
        <v>1.75</v>
      </c>
    </row>
    <row r="186" spans="11:18" x14ac:dyDescent="0.25">
      <c r="K186" s="382" t="s">
        <v>1449</v>
      </c>
      <c r="L186" s="385" t="s">
        <v>992</v>
      </c>
      <c r="M186" s="432" t="str">
        <f t="shared" si="10"/>
        <v>http://www.biral.ch/fileadmin/Media/images/Planungstools/PumpStationSelector_DWG/FPS_1000_3.0_63_BF_11_F2</v>
      </c>
      <c r="N186" s="382" t="s">
        <v>1264</v>
      </c>
      <c r="O186" s="473" t="s">
        <v>1327</v>
      </c>
      <c r="P186">
        <v>1000</v>
      </c>
      <c r="Q186" s="388">
        <v>1.87</v>
      </c>
      <c r="R186" s="433">
        <v>1.75</v>
      </c>
    </row>
    <row r="187" spans="11:18" x14ac:dyDescent="0.25">
      <c r="K187" s="382" t="s">
        <v>1450</v>
      </c>
      <c r="L187" s="385" t="s">
        <v>993</v>
      </c>
      <c r="M187" s="432" t="str">
        <f t="shared" si="10"/>
        <v>http://www.biral.ch/fileadmin/Media/images/Planungstools/PumpStationSelector_DWG/FPS_1000_1.75_63_BF_11_F2</v>
      </c>
      <c r="N187" s="382" t="s">
        <v>1259</v>
      </c>
      <c r="O187" s="473" t="s">
        <v>1327</v>
      </c>
      <c r="P187">
        <v>1000</v>
      </c>
      <c r="Q187" s="388">
        <v>1.88</v>
      </c>
      <c r="R187" s="433">
        <v>1.75</v>
      </c>
    </row>
    <row r="188" spans="11:18" x14ac:dyDescent="0.25">
      <c r="K188" s="382" t="s">
        <v>1451</v>
      </c>
      <c r="L188" s="385" t="s">
        <v>994</v>
      </c>
      <c r="M188" s="432" t="str">
        <f t="shared" si="10"/>
        <v>http://www.biral.ch/fileadmin/Media/images/Planungstools/PumpStationSelector_DWG/FPS_1000_2.0_63_BF_11_F2</v>
      </c>
      <c r="N188" s="382" t="s">
        <v>1260</v>
      </c>
      <c r="O188" s="473" t="s">
        <v>1327</v>
      </c>
      <c r="P188">
        <v>1000</v>
      </c>
      <c r="Q188" s="388">
        <v>1.89</v>
      </c>
      <c r="R188" s="433">
        <v>1.75</v>
      </c>
    </row>
    <row r="189" spans="11:18" x14ac:dyDescent="0.25">
      <c r="K189" s="382" t="s">
        <v>1452</v>
      </c>
      <c r="L189" s="385" t="s">
        <v>995</v>
      </c>
      <c r="M189" s="432" t="str">
        <f t="shared" si="10"/>
        <v>http://www.biral.ch/fileadmin/Media/images/Planungstools/PumpStationSelector_DWG/FPS_1000_2.25_63_BF_11_F2</v>
      </c>
      <c r="N189" s="382" t="s">
        <v>1261</v>
      </c>
      <c r="O189" s="473" t="s">
        <v>1327</v>
      </c>
      <c r="P189">
        <v>1000</v>
      </c>
      <c r="Q189" s="388">
        <v>1.9</v>
      </c>
      <c r="R189" s="433">
        <v>1.75</v>
      </c>
    </row>
    <row r="190" spans="11:18" x14ac:dyDescent="0.25">
      <c r="K190" s="382" t="s">
        <v>1453</v>
      </c>
      <c r="L190" s="385" t="s">
        <v>996</v>
      </c>
      <c r="M190" s="432" t="str">
        <f t="shared" si="10"/>
        <v>http://www.biral.ch/fileadmin/Media/images/Planungstools/PumpStationSelector_DWG/FPS_1000_2.5_63_BF_11_F2</v>
      </c>
      <c r="N190" s="382" t="s">
        <v>1262</v>
      </c>
      <c r="O190" s="473" t="s">
        <v>1327</v>
      </c>
      <c r="P190">
        <v>1000</v>
      </c>
      <c r="Q190" s="388">
        <v>1.91</v>
      </c>
      <c r="R190" s="433">
        <v>1.75</v>
      </c>
    </row>
    <row r="191" spans="11:18" x14ac:dyDescent="0.25">
      <c r="K191" s="382" t="s">
        <v>1454</v>
      </c>
      <c r="L191" s="385" t="s">
        <v>997</v>
      </c>
      <c r="M191" s="432" t="str">
        <f t="shared" si="10"/>
        <v>http://www.biral.ch/fileadmin/Media/images/Planungstools/PumpStationSelector_DWG/FPS_1000_2.75_63_BF_11_F2</v>
      </c>
      <c r="N191" s="382" t="s">
        <v>1263</v>
      </c>
      <c r="O191" s="473" t="s">
        <v>1327</v>
      </c>
      <c r="P191">
        <v>1000</v>
      </c>
      <c r="Q191" s="388">
        <v>1.92</v>
      </c>
      <c r="R191" s="433" t="s">
        <v>1093</v>
      </c>
    </row>
    <row r="192" spans="11:18" x14ac:dyDescent="0.25">
      <c r="K192" s="382" t="s">
        <v>1455</v>
      </c>
      <c r="L192" s="385" t="s">
        <v>998</v>
      </c>
      <c r="M192" s="432" t="str">
        <f t="shared" si="10"/>
        <v>http://www.biral.ch/fileadmin/Media/images/Planungstools/PumpStationSelector_DWG/FPS_1000_3.0_63_BF_11_F2</v>
      </c>
      <c r="N192" s="382" t="s">
        <v>1264</v>
      </c>
      <c r="O192" s="473" t="s">
        <v>1327</v>
      </c>
      <c r="P192">
        <v>1000</v>
      </c>
      <c r="Q192" s="388">
        <v>1.93</v>
      </c>
      <c r="R192" s="433" t="s">
        <v>1093</v>
      </c>
    </row>
    <row r="193" spans="11:18" x14ac:dyDescent="0.25">
      <c r="K193" s="382" t="s">
        <v>1456</v>
      </c>
      <c r="L193" s="382" t="s">
        <v>987</v>
      </c>
      <c r="M193" s="432" t="str">
        <f t="shared" si="10"/>
        <v>http://www.biral.ch/fileadmin/Media/images/Planungstools/PumpStationSelector_DWG/FPS_1000_1.75_63_BF_11_F2</v>
      </c>
      <c r="N193" s="382" t="s">
        <v>1259</v>
      </c>
      <c r="O193" s="473" t="s">
        <v>1327</v>
      </c>
      <c r="P193">
        <v>1000</v>
      </c>
      <c r="Q193" s="388">
        <v>1.94</v>
      </c>
      <c r="R193" s="433" t="s">
        <v>1093</v>
      </c>
    </row>
    <row r="194" spans="11:18" x14ac:dyDescent="0.25">
      <c r="K194" s="382" t="s">
        <v>1457</v>
      </c>
      <c r="L194" s="382" t="s">
        <v>988</v>
      </c>
      <c r="M194" s="432" t="str">
        <f t="shared" si="10"/>
        <v>http://www.biral.ch/fileadmin/Media/images/Planungstools/PumpStationSelector_DWG/FPS_1000_2.0_63_BF_11_F2</v>
      </c>
      <c r="N194" s="382" t="s">
        <v>1260</v>
      </c>
      <c r="O194" s="473" t="s">
        <v>1327</v>
      </c>
      <c r="P194">
        <v>1000</v>
      </c>
      <c r="Q194" s="388">
        <v>1.95</v>
      </c>
      <c r="R194" s="433" t="s">
        <v>1093</v>
      </c>
    </row>
    <row r="195" spans="11:18" x14ac:dyDescent="0.25">
      <c r="K195" s="382" t="s">
        <v>1458</v>
      </c>
      <c r="L195" s="382" t="s">
        <v>989</v>
      </c>
      <c r="M195" s="432" t="str">
        <f t="shared" si="10"/>
        <v>http://www.biral.ch/fileadmin/Media/images/Planungstools/PumpStationSelector_DWG/FPS_1000_2.25_63_BF_11_F2</v>
      </c>
      <c r="N195" s="382" t="s">
        <v>1261</v>
      </c>
      <c r="O195" s="473" t="s">
        <v>1327</v>
      </c>
      <c r="P195">
        <v>1000</v>
      </c>
      <c r="Q195" s="388">
        <v>1.96</v>
      </c>
      <c r="R195" s="433" t="s">
        <v>1093</v>
      </c>
    </row>
    <row r="196" spans="11:18" x14ac:dyDescent="0.25">
      <c r="K196" s="382" t="s">
        <v>1459</v>
      </c>
      <c r="L196" s="382" t="s">
        <v>990</v>
      </c>
      <c r="M196" s="432" t="str">
        <f t="shared" si="10"/>
        <v>http://www.biral.ch/fileadmin/Media/images/Planungstools/PumpStationSelector_DWG/FPS_1000_2.5_63_BF_11_F2</v>
      </c>
      <c r="N196" s="382" t="s">
        <v>1262</v>
      </c>
      <c r="O196" s="473" t="s">
        <v>1327</v>
      </c>
      <c r="P196">
        <v>1000</v>
      </c>
      <c r="Q196" s="388">
        <v>1.97</v>
      </c>
      <c r="R196" s="433" t="s">
        <v>1093</v>
      </c>
    </row>
    <row r="197" spans="11:18" x14ac:dyDescent="0.25">
      <c r="K197" s="382" t="s">
        <v>1460</v>
      </c>
      <c r="L197" s="382" t="s">
        <v>991</v>
      </c>
      <c r="M197" s="432" t="str">
        <f t="shared" si="10"/>
        <v>http://www.biral.ch/fileadmin/Media/images/Planungstools/PumpStationSelector_DWG/FPS_1000_2.75_63_BF_11_F2</v>
      </c>
      <c r="N197" s="382" t="s">
        <v>1263</v>
      </c>
      <c r="O197" s="473" t="s">
        <v>1327</v>
      </c>
      <c r="P197">
        <v>1000</v>
      </c>
      <c r="Q197" s="388">
        <v>1.98</v>
      </c>
      <c r="R197" s="433" t="s">
        <v>1093</v>
      </c>
    </row>
    <row r="198" spans="11:18" x14ac:dyDescent="0.25">
      <c r="K198" s="382" t="s">
        <v>1461</v>
      </c>
      <c r="L198" s="382" t="s">
        <v>992</v>
      </c>
      <c r="M198" s="432" t="str">
        <f t="shared" si="10"/>
        <v>http://www.biral.ch/fileadmin/Media/images/Planungstools/PumpStationSelector_DWG/FPS_1000_3.0_63_BF_11_F2</v>
      </c>
      <c r="N198" s="382" t="s">
        <v>1264</v>
      </c>
      <c r="O198" s="473" t="s">
        <v>1327</v>
      </c>
      <c r="P198">
        <v>1000</v>
      </c>
      <c r="Q198" s="388">
        <v>1.99</v>
      </c>
      <c r="R198" s="433" t="s">
        <v>1093</v>
      </c>
    </row>
    <row r="199" spans="11:18" x14ac:dyDescent="0.25">
      <c r="K199" s="382" t="s">
        <v>1462</v>
      </c>
      <c r="L199" s="386" t="s">
        <v>999</v>
      </c>
      <c r="M199" s="432" t="str">
        <f t="shared" si="10"/>
        <v>http://www.biral.ch/fileadmin/Media/images/Planungstools/PumpStationSelector_DWG/FPS_1000_1.75_75_BF_11_F2</v>
      </c>
      <c r="N199" s="382" t="s">
        <v>1241</v>
      </c>
      <c r="O199" s="473" t="s">
        <v>1327</v>
      </c>
      <c r="P199">
        <v>1000</v>
      </c>
      <c r="Q199" s="388">
        <v>2</v>
      </c>
      <c r="R199" s="433" t="s">
        <v>1093</v>
      </c>
    </row>
    <row r="200" spans="11:18" x14ac:dyDescent="0.25">
      <c r="K200" s="382" t="s">
        <v>1463</v>
      </c>
      <c r="L200" s="386" t="s">
        <v>1000</v>
      </c>
      <c r="M200" s="432" t="str">
        <f t="shared" si="10"/>
        <v>http://www.biral.ch/fileadmin/Media/images/Planungstools/PumpStationSelector_DWG/FPS_1000_2.0_75_BF_11_F2</v>
      </c>
      <c r="N200" s="382" t="s">
        <v>1242</v>
      </c>
      <c r="O200" s="473" t="s">
        <v>1327</v>
      </c>
      <c r="P200">
        <v>1000</v>
      </c>
      <c r="Q200" s="388">
        <v>2.0099999999999998</v>
      </c>
      <c r="R200" s="433" t="s">
        <v>1093</v>
      </c>
    </row>
    <row r="201" spans="11:18" x14ac:dyDescent="0.25">
      <c r="K201" s="382" t="s">
        <v>1464</v>
      </c>
      <c r="L201" s="386" t="s">
        <v>1001</v>
      </c>
      <c r="M201" s="432" t="str">
        <f t="shared" si="10"/>
        <v>http://www.biral.ch/fileadmin/Media/images/Planungstools/PumpStationSelector_DWG/FPS_1000_2.25_75_BF_11_F2</v>
      </c>
      <c r="N201" s="382" t="s">
        <v>1243</v>
      </c>
      <c r="O201" s="473" t="s">
        <v>1327</v>
      </c>
      <c r="P201">
        <v>1000</v>
      </c>
      <c r="Q201" s="388">
        <v>2.02</v>
      </c>
      <c r="R201" s="433" t="s">
        <v>1093</v>
      </c>
    </row>
    <row r="202" spans="11:18" x14ac:dyDescent="0.25">
      <c r="K202" s="382" t="s">
        <v>1465</v>
      </c>
      <c r="L202" s="386" t="s">
        <v>1002</v>
      </c>
      <c r="M202" s="432" t="str">
        <f t="shared" si="10"/>
        <v>http://www.biral.ch/fileadmin/Media/images/Planungstools/PumpStationSelector_DWG/FPS_1000_2.5_75_BF_11_F2</v>
      </c>
      <c r="N202" s="382" t="s">
        <v>1244</v>
      </c>
      <c r="O202" s="473" t="s">
        <v>1327</v>
      </c>
      <c r="P202">
        <v>1000</v>
      </c>
      <c r="Q202" s="388">
        <v>2.0299999999999998</v>
      </c>
      <c r="R202" s="433" t="s">
        <v>1093</v>
      </c>
    </row>
    <row r="203" spans="11:18" x14ac:dyDescent="0.25">
      <c r="K203" s="382" t="s">
        <v>1466</v>
      </c>
      <c r="L203" s="386" t="s">
        <v>1003</v>
      </c>
      <c r="M203" s="432" t="str">
        <f t="shared" si="10"/>
        <v>http://www.biral.ch/fileadmin/Media/images/Planungstools/PumpStationSelector_DWG/FPS_1000_2.75_75_BF_11_F2</v>
      </c>
      <c r="N203" s="382" t="s">
        <v>1245</v>
      </c>
      <c r="O203" s="473" t="s">
        <v>1327</v>
      </c>
      <c r="P203">
        <v>1000</v>
      </c>
      <c r="Q203" s="388">
        <v>2.04</v>
      </c>
      <c r="R203" s="433" t="s">
        <v>1093</v>
      </c>
    </row>
    <row r="204" spans="11:18" x14ac:dyDescent="0.25">
      <c r="K204" s="382" t="s">
        <v>1467</v>
      </c>
      <c r="L204" s="386" t="s">
        <v>1004</v>
      </c>
      <c r="M204" s="432" t="str">
        <f t="shared" si="10"/>
        <v>http://www.biral.ch/fileadmin/Media/images/Planungstools/PumpStationSelector_DWG/FPS_1000_3.0_75_BF_11_F2</v>
      </c>
      <c r="N204" s="382" t="s">
        <v>1246</v>
      </c>
      <c r="O204" s="473" t="s">
        <v>1327</v>
      </c>
      <c r="P204">
        <v>1000</v>
      </c>
      <c r="Q204" s="388">
        <v>2.0499999999999998</v>
      </c>
      <c r="R204" s="433" t="s">
        <v>1093</v>
      </c>
    </row>
    <row r="205" spans="11:18" x14ac:dyDescent="0.25">
      <c r="K205" s="382" t="s">
        <v>1468</v>
      </c>
      <c r="L205" s="387" t="s">
        <v>1005</v>
      </c>
      <c r="M205" s="432" t="str">
        <f t="shared" si="10"/>
        <v>http://www.biral.ch/fileadmin/Media/images/Planungstools/PumpStationSelector_DWG/FPS_1000_1.75_75_BF_12_F2</v>
      </c>
      <c r="N205" s="382" t="s">
        <v>1247</v>
      </c>
      <c r="O205" s="473" t="s">
        <v>1327</v>
      </c>
      <c r="P205">
        <v>1000</v>
      </c>
      <c r="Q205" s="388">
        <v>2.06</v>
      </c>
      <c r="R205" s="433" t="s">
        <v>1093</v>
      </c>
    </row>
    <row r="206" spans="11:18" x14ac:dyDescent="0.25">
      <c r="K206" s="382" t="s">
        <v>1469</v>
      </c>
      <c r="L206" s="385" t="s">
        <v>1006</v>
      </c>
      <c r="M206" s="432" t="str">
        <f t="shared" ref="M206:M216" si="12">$M$57&amp;N206</f>
        <v>http://www.biral.ch/fileadmin/Media/images/Planungstools/PumpStationSelector_DWG/FPS_1000_2.0_75_BF_12_F2</v>
      </c>
      <c r="N206" s="382" t="s">
        <v>1248</v>
      </c>
      <c r="O206" s="473" t="s">
        <v>1327</v>
      </c>
      <c r="P206">
        <v>1000</v>
      </c>
      <c r="Q206" s="388">
        <v>2.0699999999999998</v>
      </c>
      <c r="R206" s="433" t="s">
        <v>1093</v>
      </c>
    </row>
    <row r="207" spans="11:18" x14ac:dyDescent="0.25">
      <c r="K207" s="382" t="s">
        <v>1470</v>
      </c>
      <c r="L207" s="385" t="s">
        <v>1007</v>
      </c>
      <c r="M207" s="432" t="str">
        <f t="shared" si="12"/>
        <v>http://www.biral.ch/fileadmin/Media/images/Planungstools/PumpStationSelector_DWG/FPS_1000_2.25_75_BF_12_F2</v>
      </c>
      <c r="N207" s="382" t="s">
        <v>1249</v>
      </c>
      <c r="O207" s="473" t="s">
        <v>1327</v>
      </c>
      <c r="P207">
        <v>1000</v>
      </c>
      <c r="Q207" s="388">
        <v>2.08</v>
      </c>
      <c r="R207" s="433" t="s">
        <v>1093</v>
      </c>
    </row>
    <row r="208" spans="11:18" x14ac:dyDescent="0.25">
      <c r="K208" s="382" t="s">
        <v>1471</v>
      </c>
      <c r="L208" s="385" t="s">
        <v>1008</v>
      </c>
      <c r="M208" s="432" t="str">
        <f t="shared" si="12"/>
        <v>http://www.biral.ch/fileadmin/Media/images/Planungstools/PumpStationSelector_DWG/FPS_1000_2.5_75_BF_12_F2</v>
      </c>
      <c r="N208" s="382" t="s">
        <v>1250</v>
      </c>
      <c r="O208" s="473" t="s">
        <v>1327</v>
      </c>
      <c r="P208">
        <v>1000</v>
      </c>
      <c r="Q208" s="388">
        <v>2.09</v>
      </c>
      <c r="R208" s="433" t="s">
        <v>1093</v>
      </c>
    </row>
    <row r="209" spans="11:18" x14ac:dyDescent="0.25">
      <c r="K209" s="382" t="s">
        <v>1472</v>
      </c>
      <c r="L209" s="385" t="s">
        <v>1009</v>
      </c>
      <c r="M209" s="432" t="str">
        <f t="shared" si="12"/>
        <v>http://www.biral.ch/fileadmin/Media/images/Planungstools/PumpStationSelector_DWG/FPS_1000_2.75_75_BF_12_F2</v>
      </c>
      <c r="N209" s="382" t="s">
        <v>1251</v>
      </c>
      <c r="O209" s="473" t="s">
        <v>1327</v>
      </c>
      <c r="P209">
        <v>1000</v>
      </c>
      <c r="Q209" s="388">
        <v>2.1</v>
      </c>
      <c r="R209" s="433" t="s">
        <v>1093</v>
      </c>
    </row>
    <row r="210" spans="11:18" x14ac:dyDescent="0.25">
      <c r="K210" s="382" t="s">
        <v>1473</v>
      </c>
      <c r="L210" s="385" t="s">
        <v>1010</v>
      </c>
      <c r="M210" s="432" t="str">
        <f t="shared" si="12"/>
        <v>http://www.biral.ch/fileadmin/Media/images/Planungstools/PumpStationSelector_DWG/FPS_1000_3.0_75_BF_12_F2</v>
      </c>
      <c r="N210" s="382" t="s">
        <v>1252</v>
      </c>
      <c r="O210" s="473" t="s">
        <v>1327</v>
      </c>
      <c r="P210">
        <v>1000</v>
      </c>
      <c r="Q210" s="388">
        <v>2.11</v>
      </c>
      <c r="R210" s="433" t="s">
        <v>1093</v>
      </c>
    </row>
    <row r="211" spans="11:18" x14ac:dyDescent="0.25">
      <c r="K211" s="382" t="s">
        <v>1474</v>
      </c>
      <c r="L211" s="385" t="s">
        <v>1011</v>
      </c>
      <c r="M211" s="432" t="str">
        <f t="shared" si="12"/>
        <v>http://www.biral.ch/fileadmin/Media/images/Planungstools/PumpStationSelector_DWG/nicht vorhanden</v>
      </c>
      <c r="N211" s="382" t="s">
        <v>1122</v>
      </c>
      <c r="P211">
        <v>1000</v>
      </c>
      <c r="Q211" s="388">
        <v>2.12</v>
      </c>
      <c r="R211" s="433" t="s">
        <v>1093</v>
      </c>
    </row>
    <row r="212" spans="11:18" x14ac:dyDescent="0.25">
      <c r="K212" s="382" t="s">
        <v>1475</v>
      </c>
      <c r="L212" s="385" t="s">
        <v>1012</v>
      </c>
      <c r="M212" s="432" t="str">
        <f t="shared" si="12"/>
        <v>http://www.biral.ch/fileadmin/Media/images/Planungstools/PumpStationSelector_DWG/nicht vorhanden</v>
      </c>
      <c r="N212" s="382" t="s">
        <v>1122</v>
      </c>
      <c r="P212">
        <v>1000</v>
      </c>
      <c r="Q212" s="388">
        <v>2.13</v>
      </c>
      <c r="R212" s="433" t="s">
        <v>1093</v>
      </c>
    </row>
    <row r="213" spans="11:18" x14ac:dyDescent="0.25">
      <c r="K213" s="382" t="s">
        <v>1476</v>
      </c>
      <c r="L213" s="385" t="s">
        <v>1013</v>
      </c>
      <c r="M213" s="432" t="str">
        <f t="shared" si="12"/>
        <v>http://www.biral.ch/fileadmin/Media/images/Planungstools/PumpStationSelector_DWG/nicht vorhanden</v>
      </c>
      <c r="N213" s="382" t="s">
        <v>1122</v>
      </c>
      <c r="P213">
        <v>1000</v>
      </c>
      <c r="Q213" s="388">
        <v>2.14</v>
      </c>
      <c r="R213" s="433" t="s">
        <v>1093</v>
      </c>
    </row>
    <row r="214" spans="11:18" x14ac:dyDescent="0.25">
      <c r="K214" s="382" t="s">
        <v>1477</v>
      </c>
      <c r="L214" s="385" t="s">
        <v>1014</v>
      </c>
      <c r="M214" s="432" t="str">
        <f t="shared" si="12"/>
        <v>http://www.biral.ch/fileadmin/Media/images/Planungstools/PumpStationSelector_DWG/nicht vorhanden</v>
      </c>
      <c r="N214" s="382" t="s">
        <v>1122</v>
      </c>
      <c r="P214">
        <v>1000</v>
      </c>
      <c r="Q214" s="388">
        <v>2.15</v>
      </c>
      <c r="R214" s="433" t="s">
        <v>1093</v>
      </c>
    </row>
    <row r="215" spans="11:18" x14ac:dyDescent="0.25">
      <c r="K215" s="382" t="s">
        <v>1478</v>
      </c>
      <c r="L215" s="385" t="s">
        <v>1015</v>
      </c>
      <c r="M215" s="432" t="str">
        <f t="shared" si="12"/>
        <v>http://www.biral.ch/fileadmin/Media/images/Planungstools/PumpStationSelector_DWG/nicht vorhanden</v>
      </c>
      <c r="N215" s="382" t="s">
        <v>1122</v>
      </c>
      <c r="P215">
        <v>1000</v>
      </c>
      <c r="Q215" s="388">
        <v>2.16</v>
      </c>
      <c r="R215" s="433" t="s">
        <v>1123</v>
      </c>
    </row>
    <row r="216" spans="11:18" x14ac:dyDescent="0.25">
      <c r="K216" s="382" t="s">
        <v>1479</v>
      </c>
      <c r="L216" s="385" t="s">
        <v>1016</v>
      </c>
      <c r="M216" s="432" t="str">
        <f t="shared" si="12"/>
        <v>http://www.biral.ch/fileadmin/Media/images/Planungstools/PumpStationSelector_DWG/nicht vorhanden</v>
      </c>
      <c r="N216" s="382" t="s">
        <v>1122</v>
      </c>
      <c r="P216">
        <v>1000</v>
      </c>
      <c r="Q216" s="388">
        <v>2.17</v>
      </c>
      <c r="R216" s="433" t="s">
        <v>1123</v>
      </c>
    </row>
    <row r="217" spans="11:18" x14ac:dyDescent="0.25">
      <c r="P217">
        <v>1000</v>
      </c>
      <c r="Q217" s="388">
        <v>2.1800000000000002</v>
      </c>
      <c r="R217" s="433" t="s">
        <v>1123</v>
      </c>
    </row>
    <row r="218" spans="11:18" x14ac:dyDescent="0.25">
      <c r="M218" s="432" t="str">
        <f t="shared" ref="M218" si="13">$M$57&amp;N218</f>
        <v>http://www.biral.ch/fileadmin/Media/images/Planungstools/PumpStationSelector_DWG/nicht vorhanden</v>
      </c>
      <c r="N218" s="382" t="s">
        <v>1122</v>
      </c>
      <c r="P218">
        <v>1000</v>
      </c>
      <c r="Q218" s="388">
        <v>2.19</v>
      </c>
      <c r="R218" s="433">
        <v>2.25</v>
      </c>
    </row>
    <row r="219" spans="11:18" x14ac:dyDescent="0.25">
      <c r="K219" s="382" t="s">
        <v>1480</v>
      </c>
      <c r="L219" s="434" t="s">
        <v>964</v>
      </c>
      <c r="M219" s="432" t="str">
        <f>$M$57&amp;N219</f>
        <v>http://www.biral.ch/fileadmin/Media/images/Planungstools/PumpStationSelector_DWG/FPS_1000_1.75_90_BF_11_F3</v>
      </c>
      <c r="N219" s="382" t="s">
        <v>1307</v>
      </c>
      <c r="O219" s="473" t="s">
        <v>1327</v>
      </c>
      <c r="P219">
        <v>1000</v>
      </c>
      <c r="Q219" s="388">
        <v>2.2000000000000002</v>
      </c>
      <c r="R219" s="433">
        <v>2.25</v>
      </c>
    </row>
    <row r="220" spans="11:18" x14ac:dyDescent="0.25">
      <c r="K220" s="382" t="s">
        <v>1481</v>
      </c>
      <c r="L220" s="383" t="s">
        <v>965</v>
      </c>
      <c r="M220" s="432" t="str">
        <f t="shared" ref="M220:M283" si="14">$M$57&amp;N220</f>
        <v>http://www.biral.ch/fileadmin/Media/images/Planungstools/PumpStationSelector_DWG/FPS_1000_2.0_90_BF_11_F3</v>
      </c>
      <c r="N220" s="382" t="s">
        <v>1308</v>
      </c>
      <c r="O220" s="473" t="s">
        <v>1327</v>
      </c>
      <c r="P220">
        <v>1000</v>
      </c>
      <c r="Q220" s="388">
        <v>2.21</v>
      </c>
      <c r="R220" s="433">
        <v>2.25</v>
      </c>
    </row>
    <row r="221" spans="11:18" x14ac:dyDescent="0.25">
      <c r="K221" s="382" t="s">
        <v>1482</v>
      </c>
      <c r="L221" s="383" t="s">
        <v>966</v>
      </c>
      <c r="M221" s="432" t="str">
        <f t="shared" si="14"/>
        <v>http://www.biral.ch/fileadmin/Media/images/Planungstools/PumpStationSelector_DWG/FPS_1000_2.25_90_BF_11_F3</v>
      </c>
      <c r="N221" s="382" t="s">
        <v>1309</v>
      </c>
      <c r="O221" s="473" t="s">
        <v>1327</v>
      </c>
      <c r="P221">
        <v>1000</v>
      </c>
      <c r="Q221" s="388">
        <v>2.2200000000000002</v>
      </c>
      <c r="R221" s="433">
        <v>2.25</v>
      </c>
    </row>
    <row r="222" spans="11:18" x14ac:dyDescent="0.25">
      <c r="K222" s="382" t="s">
        <v>1483</v>
      </c>
      <c r="L222" s="383" t="s">
        <v>967</v>
      </c>
      <c r="M222" s="432" t="str">
        <f t="shared" si="14"/>
        <v>http://www.biral.ch/fileadmin/Media/images/Planungstools/PumpStationSelector_DWG/FPS_1000_2.5_90_BF_11_F3</v>
      </c>
      <c r="N222" s="382" t="s">
        <v>1310</v>
      </c>
      <c r="O222" s="473" t="s">
        <v>1327</v>
      </c>
      <c r="P222">
        <v>1000</v>
      </c>
      <c r="Q222" s="388">
        <v>2.23</v>
      </c>
      <c r="R222" s="433">
        <v>2.25</v>
      </c>
    </row>
    <row r="223" spans="11:18" x14ac:dyDescent="0.25">
      <c r="K223" s="382" t="s">
        <v>1484</v>
      </c>
      <c r="L223" s="383" t="s">
        <v>968</v>
      </c>
      <c r="M223" s="432" t="str">
        <f t="shared" si="14"/>
        <v>http://www.biral.ch/fileadmin/Media/images/Planungstools/PumpStationSelector_DWG/FPS_1000_2.75_90_BF_11_F3</v>
      </c>
      <c r="N223" s="382" t="s">
        <v>1311</v>
      </c>
      <c r="O223" s="473" t="s">
        <v>1327</v>
      </c>
      <c r="P223">
        <v>1000</v>
      </c>
      <c r="Q223" s="388">
        <v>2.2400000000000002</v>
      </c>
      <c r="R223" s="433">
        <v>2.25</v>
      </c>
    </row>
    <row r="224" spans="11:18" x14ac:dyDescent="0.25">
      <c r="K224" s="382" t="s">
        <v>1485</v>
      </c>
      <c r="L224" s="383" t="s">
        <v>969</v>
      </c>
      <c r="M224" s="432" t="str">
        <f t="shared" si="14"/>
        <v>http://www.biral.ch/fileadmin/Media/images/Planungstools/PumpStationSelector_DWG/FPS_1000_3.0_90_BF_11_F3</v>
      </c>
      <c r="N224" s="382" t="s">
        <v>1312</v>
      </c>
      <c r="O224" s="473" t="s">
        <v>1327</v>
      </c>
      <c r="P224">
        <v>1000</v>
      </c>
      <c r="Q224" s="388">
        <v>2.25</v>
      </c>
      <c r="R224" s="433">
        <v>2.25</v>
      </c>
    </row>
    <row r="225" spans="11:18" x14ac:dyDescent="0.25">
      <c r="K225" s="382" t="s">
        <v>1486</v>
      </c>
      <c r="L225" s="383" t="s">
        <v>970</v>
      </c>
      <c r="M225" s="432" t="str">
        <f t="shared" si="14"/>
        <v>http://www.biral.ch/fileadmin/Media/images/Planungstools/PumpStationSelector_DWG/FPS_1000_3.25_90_BF_11_F3</v>
      </c>
      <c r="N225" s="382" t="s">
        <v>1313</v>
      </c>
      <c r="O225" s="473" t="s">
        <v>1327</v>
      </c>
      <c r="P225">
        <v>1000</v>
      </c>
      <c r="Q225" s="388">
        <v>2.2599999999999998</v>
      </c>
      <c r="R225" s="433">
        <v>2.25</v>
      </c>
    </row>
    <row r="226" spans="11:18" x14ac:dyDescent="0.25">
      <c r="K226" s="382" t="s">
        <v>1487</v>
      </c>
      <c r="L226" s="383" t="s">
        <v>971</v>
      </c>
      <c r="M226" s="432" t="str">
        <f t="shared" si="14"/>
        <v>http://www.biral.ch/fileadmin/Media/images/Planungstools/PumpStationSelector_DWG/FPS_1000_3.5_90_BF_11_F3</v>
      </c>
      <c r="N226" s="382" t="s">
        <v>1314</v>
      </c>
      <c r="O226" s="473" t="s">
        <v>1327</v>
      </c>
      <c r="P226">
        <v>1000</v>
      </c>
      <c r="Q226" s="388">
        <v>2.27</v>
      </c>
      <c r="R226" s="433">
        <v>2.25</v>
      </c>
    </row>
    <row r="227" spans="11:18" x14ac:dyDescent="0.25">
      <c r="K227" s="382" t="s">
        <v>1488</v>
      </c>
      <c r="L227" s="383" t="s">
        <v>972</v>
      </c>
      <c r="M227" s="432" t="str">
        <f t="shared" si="14"/>
        <v>http://www.biral.ch/fileadmin/Media/images/Planungstools/PumpStationSelector_DWG/FPS_1000_3.75_90_BF_11_F3</v>
      </c>
      <c r="N227" s="382" t="s">
        <v>1315</v>
      </c>
      <c r="O227" s="473" t="s">
        <v>1327</v>
      </c>
      <c r="P227">
        <v>1000</v>
      </c>
      <c r="Q227" s="388">
        <v>2.2799999999999998</v>
      </c>
      <c r="R227" s="433">
        <v>2.25</v>
      </c>
    </row>
    <row r="228" spans="11:18" x14ac:dyDescent="0.25">
      <c r="K228" s="382" t="s">
        <v>1489</v>
      </c>
      <c r="L228" s="383" t="s">
        <v>973</v>
      </c>
      <c r="M228" s="432" t="str">
        <f t="shared" si="14"/>
        <v>http://www.biral.ch/fileadmin/Media/images/Planungstools/PumpStationSelector_DWG/FPS_1000_4.0_90_BF_11_F3</v>
      </c>
      <c r="N228" s="382" t="s">
        <v>1316</v>
      </c>
      <c r="O228" s="473" t="s">
        <v>1327</v>
      </c>
      <c r="P228">
        <v>1000</v>
      </c>
      <c r="Q228" s="388">
        <v>2.29</v>
      </c>
      <c r="R228" s="433">
        <v>2.25</v>
      </c>
    </row>
    <row r="229" spans="11:18" x14ac:dyDescent="0.25">
      <c r="K229" s="382" t="s">
        <v>1490</v>
      </c>
      <c r="L229" s="383" t="s">
        <v>974</v>
      </c>
      <c r="M229" s="432" t="str">
        <f t="shared" si="14"/>
        <v>http://www.biral.ch/fileadmin/Media/images/Planungstools/PumpStationSelector_DWG/FPS_1000_4.25_90_BF_11_F3</v>
      </c>
      <c r="N229" s="382" t="s">
        <v>1317</v>
      </c>
      <c r="O229" s="473" t="s">
        <v>1327</v>
      </c>
      <c r="P229">
        <v>1000</v>
      </c>
      <c r="Q229" s="388">
        <v>2.2999999999999998</v>
      </c>
      <c r="R229" s="433">
        <v>2.25</v>
      </c>
    </row>
    <row r="230" spans="11:18" x14ac:dyDescent="0.25">
      <c r="K230" s="382" t="s">
        <v>1491</v>
      </c>
      <c r="L230" s="383" t="s">
        <v>975</v>
      </c>
      <c r="M230" s="432" t="str">
        <f t="shared" si="14"/>
        <v>http://www.biral.ch/fileadmin/Media/images/Planungstools/PumpStationSelector_DWG/FPS_1000_4.5_90_BF_11_F3</v>
      </c>
      <c r="N230" s="382" t="s">
        <v>1318</v>
      </c>
      <c r="O230" s="473" t="s">
        <v>1327</v>
      </c>
      <c r="P230">
        <v>1000</v>
      </c>
      <c r="Q230" s="388">
        <v>2.31</v>
      </c>
      <c r="R230" s="433">
        <v>2.25</v>
      </c>
    </row>
    <row r="231" spans="11:18" x14ac:dyDescent="0.25">
      <c r="K231" s="382" t="s">
        <v>1492</v>
      </c>
      <c r="L231" s="383" t="s">
        <v>976</v>
      </c>
      <c r="M231" s="432" t="str">
        <f t="shared" si="14"/>
        <v>http://www.biral.ch/fileadmin/Media/images/Planungstools/PumpStationSelector_DWG/FPS_1000_4.75_90_BF_11_F3</v>
      </c>
      <c r="N231" s="382" t="s">
        <v>1319</v>
      </c>
      <c r="O231" s="473" t="s">
        <v>1327</v>
      </c>
      <c r="P231">
        <v>1000</v>
      </c>
      <c r="Q231" s="388">
        <v>2.3199999999999998</v>
      </c>
      <c r="R231" s="433">
        <v>2.25</v>
      </c>
    </row>
    <row r="232" spans="11:18" x14ac:dyDescent="0.25">
      <c r="K232" s="382" t="s">
        <v>1493</v>
      </c>
      <c r="L232" s="383" t="s">
        <v>977</v>
      </c>
      <c r="M232" s="432" t="str">
        <f t="shared" si="14"/>
        <v>http://www.biral.ch/fileadmin/Media/images/Planungstools/PumpStationSelector_DWG/FPS_1000_5.0_90_BF_11_F3</v>
      </c>
      <c r="N232" s="382" t="s">
        <v>1320</v>
      </c>
      <c r="O232" s="473" t="s">
        <v>1327</v>
      </c>
      <c r="P232">
        <v>1000</v>
      </c>
      <c r="Q232" s="388">
        <v>2.33</v>
      </c>
      <c r="R232" s="433">
        <v>2.25</v>
      </c>
    </row>
    <row r="233" spans="11:18" x14ac:dyDescent="0.25">
      <c r="K233" s="382" t="s">
        <v>1494</v>
      </c>
      <c r="L233" s="383" t="s">
        <v>978</v>
      </c>
      <c r="M233" s="432" t="str">
        <f t="shared" si="14"/>
        <v>http://www.biral.ch/fileadmin/Media/images/Planungstools/PumpStationSelector_DWG/FPS_1000_5.25_90_BF_11_F3</v>
      </c>
      <c r="N233" s="382" t="s">
        <v>1321</v>
      </c>
      <c r="O233" s="473" t="s">
        <v>1327</v>
      </c>
      <c r="P233">
        <v>1000</v>
      </c>
      <c r="Q233" s="388">
        <v>2.34</v>
      </c>
      <c r="R233" s="433">
        <v>2.25</v>
      </c>
    </row>
    <row r="234" spans="11:18" x14ac:dyDescent="0.25">
      <c r="K234" s="382" t="s">
        <v>1495</v>
      </c>
      <c r="L234" s="383" t="s">
        <v>979</v>
      </c>
      <c r="M234" s="432" t="str">
        <f t="shared" si="14"/>
        <v>http://www.biral.ch/fileadmin/Media/images/Planungstools/PumpStationSelector_DWG/FPS_1000_5.5_90_BF_11_F3</v>
      </c>
      <c r="N234" s="382" t="s">
        <v>1322</v>
      </c>
      <c r="O234" s="473" t="s">
        <v>1327</v>
      </c>
      <c r="P234">
        <v>1000</v>
      </c>
      <c r="Q234" s="388">
        <v>2.35</v>
      </c>
      <c r="R234" s="433">
        <v>2.25</v>
      </c>
    </row>
    <row r="235" spans="11:18" x14ac:dyDescent="0.25">
      <c r="K235" s="382" t="s">
        <v>1496</v>
      </c>
      <c r="L235" s="384" t="str">
        <f>Sprachen!$E$266</f>
        <v>nessuno</v>
      </c>
      <c r="M235" s="432" t="str">
        <f t="shared" si="14"/>
        <v>http://www.biral.ch/fileadmin/Media/images/Planungstools/PumpStationSelector_DWG/FPS_1000_1.75_63_BF_12_F3</v>
      </c>
      <c r="N235" s="382" t="s">
        <v>1271</v>
      </c>
      <c r="O235" s="473" t="s">
        <v>1327</v>
      </c>
      <c r="P235">
        <v>1000</v>
      </c>
      <c r="Q235" s="388">
        <v>2.36</v>
      </c>
      <c r="R235" s="433">
        <v>2.25</v>
      </c>
    </row>
    <row r="236" spans="11:18" x14ac:dyDescent="0.25">
      <c r="K236" s="382" t="s">
        <v>1497</v>
      </c>
      <c r="L236" s="384" t="str">
        <f>Sprachen!$E$266</f>
        <v>nessuno</v>
      </c>
      <c r="M236" s="432" t="str">
        <f t="shared" si="14"/>
        <v>http://www.biral.ch/fileadmin/Media/images/Planungstools/PumpStationSelector_DWG/FPS_1000_2.0_63_BF_12_F3</v>
      </c>
      <c r="N236" s="382" t="s">
        <v>1272</v>
      </c>
      <c r="O236" s="473" t="s">
        <v>1327</v>
      </c>
      <c r="P236">
        <v>1000</v>
      </c>
      <c r="Q236" s="388">
        <v>2.37</v>
      </c>
      <c r="R236" s="433">
        <v>2.25</v>
      </c>
    </row>
    <row r="237" spans="11:18" x14ac:dyDescent="0.25">
      <c r="K237" s="382" t="s">
        <v>1498</v>
      </c>
      <c r="L237" s="384" t="str">
        <f>Sprachen!$E$266</f>
        <v>nessuno</v>
      </c>
      <c r="M237" s="432" t="str">
        <f t="shared" si="14"/>
        <v>http://www.biral.ch/fileadmin/Media/images/Planungstools/PumpStationSelector_DWG/FPS_1000_2.25_63_BF_12_F3</v>
      </c>
      <c r="N237" s="382" t="s">
        <v>1273</v>
      </c>
      <c r="O237" s="473" t="s">
        <v>1327</v>
      </c>
      <c r="P237">
        <v>1000</v>
      </c>
      <c r="Q237" s="388">
        <v>2.38</v>
      </c>
      <c r="R237" s="433">
        <v>2.25</v>
      </c>
    </row>
    <row r="238" spans="11:18" x14ac:dyDescent="0.25">
      <c r="K238" s="382" t="s">
        <v>1499</v>
      </c>
      <c r="L238" s="384" t="str">
        <f>Sprachen!$E$266</f>
        <v>nessuno</v>
      </c>
      <c r="M238" s="432" t="str">
        <f t="shared" si="14"/>
        <v>http://www.biral.ch/fileadmin/Media/images/Planungstools/PumpStationSelector_DWG/FPS_1000_2.5_63_BF_12_F3</v>
      </c>
      <c r="N238" s="382" t="s">
        <v>1274</v>
      </c>
      <c r="O238" s="473" t="s">
        <v>1327</v>
      </c>
      <c r="P238">
        <v>1000</v>
      </c>
      <c r="Q238" s="388">
        <v>2.39</v>
      </c>
      <c r="R238" s="433">
        <v>2.25</v>
      </c>
    </row>
    <row r="239" spans="11:18" x14ac:dyDescent="0.25">
      <c r="K239" s="382" t="s">
        <v>1500</v>
      </c>
      <c r="L239" s="384" t="str">
        <f>Sprachen!$E$266</f>
        <v>nessuno</v>
      </c>
      <c r="M239" s="432" t="str">
        <f t="shared" si="14"/>
        <v>http://www.biral.ch/fileadmin/Media/images/Planungstools/PumpStationSelector_DWG/FPS_1000_2.75_63_BF_12_F3</v>
      </c>
      <c r="N239" s="382" t="s">
        <v>1275</v>
      </c>
      <c r="O239" s="473" t="s">
        <v>1327</v>
      </c>
      <c r="P239">
        <v>1000</v>
      </c>
      <c r="Q239" s="388">
        <v>2.4</v>
      </c>
      <c r="R239" s="433" t="s">
        <v>1123</v>
      </c>
    </row>
    <row r="240" spans="11:18" x14ac:dyDescent="0.25">
      <c r="K240" s="382" t="s">
        <v>1501</v>
      </c>
      <c r="L240" s="384" t="str">
        <f>Sprachen!$E$266</f>
        <v>nessuno</v>
      </c>
      <c r="M240" s="432" t="str">
        <f t="shared" si="14"/>
        <v>http://www.biral.ch/fileadmin/Media/images/Planungstools/PumpStationSelector_DWG/FPS_1000_3.0_63_BF_12_F3</v>
      </c>
      <c r="N240" s="382" t="s">
        <v>1276</v>
      </c>
      <c r="O240" s="473" t="s">
        <v>1327</v>
      </c>
      <c r="P240">
        <v>1000</v>
      </c>
      <c r="Q240" s="388">
        <v>2.41</v>
      </c>
      <c r="R240" s="433" t="s">
        <v>1124</v>
      </c>
    </row>
    <row r="241" spans="11:18" x14ac:dyDescent="0.25">
      <c r="K241" s="382" t="s">
        <v>1502</v>
      </c>
      <c r="L241" s="385" t="s">
        <v>981</v>
      </c>
      <c r="M241" s="432" t="str">
        <f t="shared" si="14"/>
        <v>http://www.biral.ch/fileadmin/Media/images/Planungstools/PumpStationSelector_DWG/FPS_1000_1.75_63_BF_12_F3</v>
      </c>
      <c r="N241" s="382" t="s">
        <v>1271</v>
      </c>
      <c r="O241" s="473" t="s">
        <v>1327</v>
      </c>
      <c r="P241">
        <v>1000</v>
      </c>
      <c r="Q241" s="388">
        <v>2.42</v>
      </c>
      <c r="R241" s="433" t="s">
        <v>1124</v>
      </c>
    </row>
    <row r="242" spans="11:18" x14ac:dyDescent="0.25">
      <c r="K242" s="382" t="s">
        <v>1503</v>
      </c>
      <c r="L242" s="385" t="s">
        <v>982</v>
      </c>
      <c r="M242" s="432" t="str">
        <f t="shared" si="14"/>
        <v>http://www.biral.ch/fileadmin/Media/images/Planungstools/PumpStationSelector_DWG/FPS_1000_2.0_63_BF_12_F3</v>
      </c>
      <c r="N242" s="382" t="s">
        <v>1272</v>
      </c>
      <c r="O242" s="473" t="s">
        <v>1327</v>
      </c>
      <c r="P242">
        <v>1000</v>
      </c>
      <c r="Q242" s="388">
        <v>2.4300000000000002</v>
      </c>
      <c r="R242" s="433" t="s">
        <v>1124</v>
      </c>
    </row>
    <row r="243" spans="11:18" x14ac:dyDescent="0.25">
      <c r="K243" s="382" t="s">
        <v>1504</v>
      </c>
      <c r="L243" s="385" t="s">
        <v>983</v>
      </c>
      <c r="M243" s="432" t="str">
        <f t="shared" si="14"/>
        <v>http://www.biral.ch/fileadmin/Media/images/Planungstools/PumpStationSelector_DWG/FPS_1000_2.25_63_BF_12_F3</v>
      </c>
      <c r="N243" s="382" t="s">
        <v>1273</v>
      </c>
      <c r="O243" s="473" t="s">
        <v>1327</v>
      </c>
      <c r="P243">
        <v>1000</v>
      </c>
      <c r="Q243" s="388">
        <v>2.44</v>
      </c>
      <c r="R243" s="433">
        <v>2.5</v>
      </c>
    </row>
    <row r="244" spans="11:18" x14ac:dyDescent="0.25">
      <c r="K244" s="382" t="s">
        <v>1505</v>
      </c>
      <c r="L244" s="385" t="s">
        <v>984</v>
      </c>
      <c r="M244" s="432" t="str">
        <f t="shared" si="14"/>
        <v>http://www.biral.ch/fileadmin/Media/images/Planungstools/PumpStationSelector_DWG/FPS_1000_2.5_63_BF_12_F3</v>
      </c>
      <c r="N244" s="382" t="s">
        <v>1274</v>
      </c>
      <c r="O244" s="473" t="s">
        <v>1327</v>
      </c>
      <c r="P244">
        <v>1000</v>
      </c>
      <c r="Q244" s="388">
        <v>2.4500000000000002</v>
      </c>
      <c r="R244" s="433">
        <v>2.5</v>
      </c>
    </row>
    <row r="245" spans="11:18" x14ac:dyDescent="0.25">
      <c r="K245" s="382" t="s">
        <v>1506</v>
      </c>
      <c r="L245" s="385" t="s">
        <v>985</v>
      </c>
      <c r="M245" s="432" t="str">
        <f t="shared" si="14"/>
        <v>http://www.biral.ch/fileadmin/Media/images/Planungstools/PumpStationSelector_DWG/FPS_1000_2.75_63_BF_12_F3</v>
      </c>
      <c r="N245" s="382" t="s">
        <v>1275</v>
      </c>
      <c r="O245" s="473" t="s">
        <v>1327</v>
      </c>
      <c r="P245">
        <v>1000</v>
      </c>
      <c r="Q245" s="388">
        <v>2.46</v>
      </c>
      <c r="R245" s="433">
        <v>2.5</v>
      </c>
    </row>
    <row r="246" spans="11:18" x14ac:dyDescent="0.25">
      <c r="K246" s="382" t="s">
        <v>1507</v>
      </c>
      <c r="L246" s="385" t="s">
        <v>986</v>
      </c>
      <c r="M246" s="432" t="str">
        <f t="shared" si="14"/>
        <v>http://www.biral.ch/fileadmin/Media/images/Planungstools/PumpStationSelector_DWG/FPS_1000_3.0_63_BF_12_F3</v>
      </c>
      <c r="N246" s="382" t="s">
        <v>1276</v>
      </c>
      <c r="O246" s="473" t="s">
        <v>1327</v>
      </c>
      <c r="P246">
        <v>1000</v>
      </c>
      <c r="Q246" s="388">
        <v>2.4700000000000002</v>
      </c>
      <c r="R246" s="433">
        <v>2.5</v>
      </c>
    </row>
    <row r="247" spans="11:18" x14ac:dyDescent="0.25">
      <c r="K247" s="382" t="s">
        <v>1508</v>
      </c>
      <c r="L247" s="385" t="s">
        <v>981</v>
      </c>
      <c r="M247" s="432" t="str">
        <f t="shared" si="14"/>
        <v>http://www.biral.ch/fileadmin/Media/images/Planungstools/PumpStationSelector_DWG/FPS_1000_1.75_63_BF_12_F3</v>
      </c>
      <c r="N247" s="382" t="s">
        <v>1271</v>
      </c>
      <c r="O247" s="473" t="s">
        <v>1327</v>
      </c>
      <c r="P247">
        <v>1000</v>
      </c>
      <c r="Q247" s="388">
        <v>2.48</v>
      </c>
      <c r="R247" s="433">
        <v>2.5</v>
      </c>
    </row>
    <row r="248" spans="11:18" x14ac:dyDescent="0.25">
      <c r="K248" s="382" t="s">
        <v>1509</v>
      </c>
      <c r="L248" s="385" t="s">
        <v>982</v>
      </c>
      <c r="M248" s="432" t="str">
        <f t="shared" si="14"/>
        <v>http://www.biral.ch/fileadmin/Media/images/Planungstools/PumpStationSelector_DWG/FPS_1000_2.0_63_BF_12_F3</v>
      </c>
      <c r="N248" s="382" t="s">
        <v>1272</v>
      </c>
      <c r="O248" s="473" t="s">
        <v>1327</v>
      </c>
      <c r="P248">
        <v>1000</v>
      </c>
      <c r="Q248" s="388">
        <v>2.4900000000000002</v>
      </c>
      <c r="R248" s="433">
        <v>2.5</v>
      </c>
    </row>
    <row r="249" spans="11:18" x14ac:dyDescent="0.25">
      <c r="K249" s="382" t="s">
        <v>1510</v>
      </c>
      <c r="L249" s="385" t="s">
        <v>983</v>
      </c>
      <c r="M249" s="432" t="str">
        <f t="shared" si="14"/>
        <v>http://www.biral.ch/fileadmin/Media/images/Planungstools/PumpStationSelector_DWG/FPS_1000_2.25_63_BF_12_F3</v>
      </c>
      <c r="N249" s="382" t="s">
        <v>1273</v>
      </c>
      <c r="O249" s="473" t="s">
        <v>1327</v>
      </c>
      <c r="P249">
        <v>1000</v>
      </c>
      <c r="Q249" s="388">
        <v>2.5</v>
      </c>
      <c r="R249" s="433">
        <v>2.5</v>
      </c>
    </row>
    <row r="250" spans="11:18" x14ac:dyDescent="0.25">
      <c r="K250" s="382" t="s">
        <v>1511</v>
      </c>
      <c r="L250" s="385" t="s">
        <v>984</v>
      </c>
      <c r="M250" s="432" t="str">
        <f t="shared" si="14"/>
        <v>http://www.biral.ch/fileadmin/Media/images/Planungstools/PumpStationSelector_DWG/FPS_1000_2.5_63_BF_12_F3</v>
      </c>
      <c r="N250" s="382" t="s">
        <v>1274</v>
      </c>
      <c r="O250" s="473" t="s">
        <v>1327</v>
      </c>
      <c r="P250">
        <v>1000</v>
      </c>
      <c r="Q250" s="388">
        <v>2.5099999999999998</v>
      </c>
      <c r="R250" s="433">
        <v>2.5</v>
      </c>
    </row>
    <row r="251" spans="11:18" x14ac:dyDescent="0.25">
      <c r="K251" s="382" t="s">
        <v>1512</v>
      </c>
      <c r="L251" s="385" t="s">
        <v>985</v>
      </c>
      <c r="M251" s="432" t="str">
        <f t="shared" si="14"/>
        <v>http://www.biral.ch/fileadmin/Media/images/Planungstools/PumpStationSelector_DWG/FPS_1000_2.75_63_BF_12_F3</v>
      </c>
      <c r="N251" s="382" t="s">
        <v>1275</v>
      </c>
      <c r="O251" s="473" t="s">
        <v>1327</v>
      </c>
      <c r="P251">
        <v>1000</v>
      </c>
      <c r="Q251" s="388">
        <v>2.52</v>
      </c>
      <c r="R251" s="433">
        <v>2.5</v>
      </c>
    </row>
    <row r="252" spans="11:18" x14ac:dyDescent="0.25">
      <c r="K252" s="382" t="s">
        <v>1513</v>
      </c>
      <c r="L252" s="385" t="s">
        <v>986</v>
      </c>
      <c r="M252" s="432" t="str">
        <f t="shared" si="14"/>
        <v>http://www.biral.ch/fileadmin/Media/images/Planungstools/PumpStationSelector_DWG/FPS_1000_3.0_63_BF_12_F3</v>
      </c>
      <c r="N252" s="382" t="s">
        <v>1276</v>
      </c>
      <c r="O252" s="473" t="s">
        <v>1327</v>
      </c>
      <c r="P252">
        <v>1000</v>
      </c>
      <c r="Q252" s="388">
        <v>2.5299999999999998</v>
      </c>
      <c r="R252" s="433">
        <v>2.5</v>
      </c>
    </row>
    <row r="253" spans="11:18" x14ac:dyDescent="0.25">
      <c r="K253" s="382" t="s">
        <v>1514</v>
      </c>
      <c r="L253" s="385" t="s">
        <v>981</v>
      </c>
      <c r="M253" s="432" t="str">
        <f t="shared" si="14"/>
        <v>http://www.biral.ch/fileadmin/Media/images/Planungstools/PumpStationSelector_DWG/FPS_1000_1.75_63_BF_12_F3</v>
      </c>
      <c r="N253" s="382" t="s">
        <v>1271</v>
      </c>
      <c r="O253" s="473" t="s">
        <v>1327</v>
      </c>
      <c r="P253">
        <v>1000</v>
      </c>
      <c r="Q253" s="388">
        <v>2.54</v>
      </c>
      <c r="R253" s="433">
        <v>2.5</v>
      </c>
    </row>
    <row r="254" spans="11:18" x14ac:dyDescent="0.25">
      <c r="K254" s="382" t="s">
        <v>1515</v>
      </c>
      <c r="L254" s="385" t="s">
        <v>982</v>
      </c>
      <c r="M254" s="432" t="str">
        <f t="shared" si="14"/>
        <v>http://www.biral.ch/fileadmin/Media/images/Planungstools/PumpStationSelector_DWG/FPS_1000_2.0_63_BF_12_F3</v>
      </c>
      <c r="N254" s="382" t="s">
        <v>1272</v>
      </c>
      <c r="O254" s="473" t="s">
        <v>1327</v>
      </c>
      <c r="P254">
        <v>1000</v>
      </c>
      <c r="Q254" s="388">
        <v>2.5499999999999998</v>
      </c>
      <c r="R254" s="433">
        <v>2.5</v>
      </c>
    </row>
    <row r="255" spans="11:18" x14ac:dyDescent="0.25">
      <c r="K255" s="382" t="s">
        <v>1516</v>
      </c>
      <c r="L255" s="385" t="s">
        <v>983</v>
      </c>
      <c r="M255" s="432" t="str">
        <f t="shared" si="14"/>
        <v>http://www.biral.ch/fileadmin/Media/images/Planungstools/PumpStationSelector_DWG/FPS_1000_2.25_63_BF_12_F3</v>
      </c>
      <c r="N255" s="382" t="s">
        <v>1273</v>
      </c>
      <c r="O255" s="473" t="s">
        <v>1327</v>
      </c>
      <c r="P255">
        <v>1000</v>
      </c>
      <c r="Q255" s="388">
        <v>2.56</v>
      </c>
      <c r="R255" s="433">
        <v>2.5</v>
      </c>
    </row>
    <row r="256" spans="11:18" x14ac:dyDescent="0.25">
      <c r="K256" s="382" t="s">
        <v>1517</v>
      </c>
      <c r="L256" s="385" t="s">
        <v>984</v>
      </c>
      <c r="M256" s="432" t="str">
        <f t="shared" si="14"/>
        <v>http://www.biral.ch/fileadmin/Media/images/Planungstools/PumpStationSelector_DWG/FPS_1000_2.5_63_BF_12_F3</v>
      </c>
      <c r="N256" s="382" t="s">
        <v>1274</v>
      </c>
      <c r="O256" s="473" t="s">
        <v>1327</v>
      </c>
      <c r="P256">
        <v>1000</v>
      </c>
      <c r="Q256" s="388">
        <v>2.57</v>
      </c>
      <c r="R256" s="433">
        <v>2.5</v>
      </c>
    </row>
    <row r="257" spans="11:18" x14ac:dyDescent="0.25">
      <c r="K257" s="382" t="s">
        <v>1518</v>
      </c>
      <c r="L257" s="385" t="s">
        <v>985</v>
      </c>
      <c r="M257" s="432" t="str">
        <f t="shared" si="14"/>
        <v>http://www.biral.ch/fileadmin/Media/images/Planungstools/PumpStationSelector_DWG/FPS_1000_2.75_63_BF_12_F3</v>
      </c>
      <c r="N257" s="382" t="s">
        <v>1275</v>
      </c>
      <c r="O257" s="473" t="s">
        <v>1327</v>
      </c>
      <c r="P257">
        <v>1000</v>
      </c>
      <c r="Q257" s="388">
        <v>2.58</v>
      </c>
      <c r="R257" s="433">
        <v>2.5</v>
      </c>
    </row>
    <row r="258" spans="11:18" x14ac:dyDescent="0.25">
      <c r="K258" s="382" t="s">
        <v>1519</v>
      </c>
      <c r="L258" s="385" t="s">
        <v>986</v>
      </c>
      <c r="M258" s="432" t="str">
        <f t="shared" si="14"/>
        <v>http://www.biral.ch/fileadmin/Media/images/Planungstools/PumpStationSelector_DWG/FPS_1000_3.0_63_BF_12_F3</v>
      </c>
      <c r="N258" s="382" t="s">
        <v>1276</v>
      </c>
      <c r="O258" s="473" t="s">
        <v>1327</v>
      </c>
      <c r="P258">
        <v>1000</v>
      </c>
      <c r="Q258" s="388">
        <v>2.59</v>
      </c>
      <c r="R258" s="433">
        <v>2.5</v>
      </c>
    </row>
    <row r="259" spans="11:18" x14ac:dyDescent="0.25">
      <c r="K259" s="382" t="s">
        <v>1520</v>
      </c>
      <c r="L259" s="385" t="s">
        <v>987</v>
      </c>
      <c r="M259" s="432" t="str">
        <f t="shared" si="14"/>
        <v>http://www.biral.ch/fileadmin/Media/images/Planungstools/PumpStationSelector_DWG/FPS_1000_1.75_63_BF_11_F3</v>
      </c>
      <c r="N259" s="382" t="s">
        <v>1265</v>
      </c>
      <c r="O259" s="473" t="s">
        <v>1327</v>
      </c>
      <c r="P259">
        <v>1000</v>
      </c>
      <c r="Q259" s="388">
        <v>2.6</v>
      </c>
      <c r="R259" s="433">
        <v>2.5</v>
      </c>
    </row>
    <row r="260" spans="11:18" x14ac:dyDescent="0.25">
      <c r="K260" s="382" t="s">
        <v>1521</v>
      </c>
      <c r="L260" s="385" t="s">
        <v>988</v>
      </c>
      <c r="M260" s="432" t="str">
        <f t="shared" si="14"/>
        <v>http://www.biral.ch/fileadmin/Media/images/Planungstools/PumpStationSelector_DWG/FPS_1000_2.0_63_BF_11_F3</v>
      </c>
      <c r="N260" s="382" t="s">
        <v>1266</v>
      </c>
      <c r="O260" s="473" t="s">
        <v>1327</v>
      </c>
      <c r="P260">
        <v>1000</v>
      </c>
      <c r="Q260" s="388">
        <v>2.61</v>
      </c>
      <c r="R260" s="433">
        <v>2.5</v>
      </c>
    </row>
    <row r="261" spans="11:18" x14ac:dyDescent="0.25">
      <c r="K261" s="382" t="s">
        <v>1522</v>
      </c>
      <c r="L261" s="385" t="s">
        <v>989</v>
      </c>
      <c r="M261" s="432" t="str">
        <f t="shared" si="14"/>
        <v>http://www.biral.ch/fileadmin/Media/images/Planungstools/PumpStationSelector_DWG/FPS_1000_2.25_63_BF_11_F3</v>
      </c>
      <c r="N261" s="382" t="s">
        <v>1267</v>
      </c>
      <c r="O261" s="473" t="s">
        <v>1327</v>
      </c>
      <c r="P261">
        <v>1000</v>
      </c>
      <c r="Q261" s="388">
        <v>2.62</v>
      </c>
      <c r="R261" s="433">
        <v>2.5</v>
      </c>
    </row>
    <row r="262" spans="11:18" x14ac:dyDescent="0.25">
      <c r="K262" s="382" t="s">
        <v>1523</v>
      </c>
      <c r="L262" s="385" t="s">
        <v>990</v>
      </c>
      <c r="M262" s="432" t="str">
        <f t="shared" si="14"/>
        <v>http://www.biral.ch/fileadmin/Media/images/Planungstools/PumpStationSelector_DWG/FPS_1000_2.5_63_BF_11_F3</v>
      </c>
      <c r="N262" s="382" t="s">
        <v>1268</v>
      </c>
      <c r="O262" s="473" t="s">
        <v>1327</v>
      </c>
      <c r="P262">
        <v>1000</v>
      </c>
      <c r="Q262" s="388">
        <v>2.63</v>
      </c>
      <c r="R262" s="433">
        <v>2.5</v>
      </c>
    </row>
    <row r="263" spans="11:18" x14ac:dyDescent="0.25">
      <c r="K263" s="382" t="s">
        <v>1524</v>
      </c>
      <c r="L263" s="385" t="s">
        <v>991</v>
      </c>
      <c r="M263" s="432" t="str">
        <f t="shared" si="14"/>
        <v>http://www.biral.ch/fileadmin/Media/images/Planungstools/PumpStationSelector_DWG/FPS_1000_2.75_63_BF_11_F3</v>
      </c>
      <c r="N263" s="382" t="s">
        <v>1269</v>
      </c>
      <c r="O263" s="473" t="s">
        <v>1327</v>
      </c>
      <c r="P263">
        <v>1000</v>
      </c>
      <c r="Q263" s="388">
        <v>2.64</v>
      </c>
      <c r="R263" s="433">
        <v>2.5</v>
      </c>
    </row>
    <row r="264" spans="11:18" x14ac:dyDescent="0.25">
      <c r="K264" s="382" t="s">
        <v>1525</v>
      </c>
      <c r="L264" s="385" t="s">
        <v>992</v>
      </c>
      <c r="M264" s="432" t="str">
        <f t="shared" si="14"/>
        <v>http://www.biral.ch/fileadmin/Media/images/Planungstools/PumpStationSelector_DWG/FPS_1000_3.0_63_BF_11_F3</v>
      </c>
      <c r="N264" s="382" t="s">
        <v>1270</v>
      </c>
      <c r="O264" s="473" t="s">
        <v>1327</v>
      </c>
      <c r="P264">
        <v>1000</v>
      </c>
      <c r="Q264" s="388">
        <v>2.65</v>
      </c>
      <c r="R264" s="433">
        <v>2.5</v>
      </c>
    </row>
    <row r="265" spans="11:18" x14ac:dyDescent="0.25">
      <c r="K265" s="382" t="s">
        <v>1526</v>
      </c>
      <c r="L265" s="385" t="s">
        <v>993</v>
      </c>
      <c r="M265" s="432" t="str">
        <f t="shared" si="14"/>
        <v>http://www.biral.ch/fileadmin/Media/images/Planungstools/PumpStationSelector_DWG/FPS_1000_1.75_63_BF_11_F3</v>
      </c>
      <c r="N265" s="382" t="s">
        <v>1265</v>
      </c>
      <c r="O265" s="473" t="s">
        <v>1327</v>
      </c>
      <c r="P265">
        <v>1000</v>
      </c>
      <c r="Q265" s="388">
        <v>2.66</v>
      </c>
      <c r="R265" s="433">
        <v>2.75</v>
      </c>
    </row>
    <row r="266" spans="11:18" x14ac:dyDescent="0.25">
      <c r="K266" s="382" t="s">
        <v>1527</v>
      </c>
      <c r="L266" s="385" t="s">
        <v>994</v>
      </c>
      <c r="M266" s="432" t="str">
        <f t="shared" si="14"/>
        <v>http://www.biral.ch/fileadmin/Media/images/Planungstools/PumpStationSelector_DWG/FPS_1000_2.0_63_BF_11_F3</v>
      </c>
      <c r="N266" s="382" t="s">
        <v>1266</v>
      </c>
      <c r="O266" s="473" t="s">
        <v>1327</v>
      </c>
      <c r="P266">
        <v>1000</v>
      </c>
      <c r="Q266" s="388">
        <v>2.67</v>
      </c>
      <c r="R266" s="433">
        <v>2.75</v>
      </c>
    </row>
    <row r="267" spans="11:18" x14ac:dyDescent="0.25">
      <c r="K267" s="382" t="s">
        <v>1528</v>
      </c>
      <c r="L267" s="385" t="s">
        <v>995</v>
      </c>
      <c r="M267" s="432" t="str">
        <f t="shared" si="14"/>
        <v>http://www.biral.ch/fileadmin/Media/images/Planungstools/PumpStationSelector_DWG/FPS_1000_2.25_63_BF_11_F3</v>
      </c>
      <c r="N267" s="382" t="s">
        <v>1267</v>
      </c>
      <c r="O267" s="473" t="s">
        <v>1327</v>
      </c>
      <c r="P267">
        <v>1000</v>
      </c>
      <c r="Q267" s="388">
        <v>2.68</v>
      </c>
      <c r="R267" s="433">
        <v>2.75</v>
      </c>
    </row>
    <row r="268" spans="11:18" x14ac:dyDescent="0.25">
      <c r="K268" s="382" t="s">
        <v>1529</v>
      </c>
      <c r="L268" s="385" t="s">
        <v>996</v>
      </c>
      <c r="M268" s="432" t="str">
        <f t="shared" si="14"/>
        <v>http://www.biral.ch/fileadmin/Media/images/Planungstools/PumpStationSelector_DWG/FPS_1000_2.5_63_BF_11_F3</v>
      </c>
      <c r="N268" s="382" t="s">
        <v>1268</v>
      </c>
      <c r="O268" s="473" t="s">
        <v>1327</v>
      </c>
      <c r="P268">
        <v>1000</v>
      </c>
      <c r="Q268" s="388">
        <v>2.69</v>
      </c>
      <c r="R268" s="433">
        <v>2.75</v>
      </c>
    </row>
    <row r="269" spans="11:18" x14ac:dyDescent="0.25">
      <c r="K269" s="382" t="s">
        <v>1530</v>
      </c>
      <c r="L269" s="385" t="s">
        <v>997</v>
      </c>
      <c r="M269" s="432" t="str">
        <f t="shared" si="14"/>
        <v>http://www.biral.ch/fileadmin/Media/images/Planungstools/PumpStationSelector_DWG/FPS_1000_2.75_63_BF_11_F3</v>
      </c>
      <c r="N269" s="382" t="s">
        <v>1269</v>
      </c>
      <c r="O269" s="473" t="s">
        <v>1327</v>
      </c>
      <c r="P269">
        <v>1000</v>
      </c>
      <c r="Q269" s="388">
        <v>2.7</v>
      </c>
      <c r="R269" s="433">
        <v>2.75</v>
      </c>
    </row>
    <row r="270" spans="11:18" x14ac:dyDescent="0.25">
      <c r="K270" s="382" t="s">
        <v>1531</v>
      </c>
      <c r="L270" s="385" t="s">
        <v>998</v>
      </c>
      <c r="M270" s="432" t="str">
        <f t="shared" si="14"/>
        <v>http://www.biral.ch/fileadmin/Media/images/Planungstools/PumpStationSelector_DWG/FPS_1000_3.0_63_BF_11_F3</v>
      </c>
      <c r="N270" s="382" t="s">
        <v>1270</v>
      </c>
      <c r="O270" s="473" t="s">
        <v>1327</v>
      </c>
      <c r="P270">
        <v>1000</v>
      </c>
      <c r="Q270" s="388">
        <v>2.71</v>
      </c>
      <c r="R270" s="433">
        <v>2.75</v>
      </c>
    </row>
    <row r="271" spans="11:18" x14ac:dyDescent="0.25">
      <c r="K271" s="382" t="s">
        <v>1532</v>
      </c>
      <c r="L271" s="382" t="s">
        <v>987</v>
      </c>
      <c r="M271" s="432" t="str">
        <f t="shared" si="14"/>
        <v>http://www.biral.ch/fileadmin/Media/images/Planungstools/PumpStationSelector_DWG/FPS_1000_1.75_63_BF_11_F3</v>
      </c>
      <c r="N271" s="382" t="s">
        <v>1265</v>
      </c>
      <c r="O271" s="473" t="s">
        <v>1327</v>
      </c>
      <c r="P271">
        <v>1000</v>
      </c>
      <c r="Q271" s="388">
        <v>2.72</v>
      </c>
      <c r="R271" s="433">
        <v>2.75</v>
      </c>
    </row>
    <row r="272" spans="11:18" x14ac:dyDescent="0.25">
      <c r="K272" s="382" t="s">
        <v>1533</v>
      </c>
      <c r="L272" s="382" t="s">
        <v>988</v>
      </c>
      <c r="M272" s="432" t="str">
        <f t="shared" si="14"/>
        <v>http://www.biral.ch/fileadmin/Media/images/Planungstools/PumpStationSelector_DWG/FPS_1000_2.0_63_BF_11_F3</v>
      </c>
      <c r="N272" s="382" t="s">
        <v>1266</v>
      </c>
      <c r="O272" s="473" t="s">
        <v>1327</v>
      </c>
      <c r="P272">
        <v>1000</v>
      </c>
      <c r="Q272" s="388">
        <v>2.73</v>
      </c>
      <c r="R272" s="433">
        <v>2.75</v>
      </c>
    </row>
    <row r="273" spans="11:18" x14ac:dyDescent="0.25">
      <c r="K273" s="382" t="s">
        <v>1534</v>
      </c>
      <c r="L273" s="382" t="s">
        <v>989</v>
      </c>
      <c r="M273" s="432" t="str">
        <f t="shared" si="14"/>
        <v>http://www.biral.ch/fileadmin/Media/images/Planungstools/PumpStationSelector_DWG/FPS_1000_2.25_63_BF_11_F3</v>
      </c>
      <c r="N273" s="382" t="s">
        <v>1267</v>
      </c>
      <c r="O273" s="473" t="s">
        <v>1327</v>
      </c>
      <c r="P273">
        <v>1000</v>
      </c>
      <c r="Q273" s="388">
        <v>2.74</v>
      </c>
      <c r="R273" s="433">
        <v>2.75</v>
      </c>
    </row>
    <row r="274" spans="11:18" x14ac:dyDescent="0.25">
      <c r="K274" s="382" t="s">
        <v>1535</v>
      </c>
      <c r="L274" s="382" t="s">
        <v>990</v>
      </c>
      <c r="M274" s="432" t="str">
        <f t="shared" si="14"/>
        <v>http://www.biral.ch/fileadmin/Media/images/Planungstools/PumpStationSelector_DWG/FPS_1000_2.5_63_BF_11_F3</v>
      </c>
      <c r="N274" s="382" t="s">
        <v>1268</v>
      </c>
      <c r="O274" s="473" t="s">
        <v>1327</v>
      </c>
      <c r="P274">
        <v>1000</v>
      </c>
      <c r="Q274" s="388">
        <v>2.75</v>
      </c>
      <c r="R274" s="433">
        <v>2.75</v>
      </c>
    </row>
    <row r="275" spans="11:18" x14ac:dyDescent="0.25">
      <c r="K275" s="382" t="s">
        <v>1536</v>
      </c>
      <c r="L275" s="382" t="s">
        <v>991</v>
      </c>
      <c r="M275" s="432" t="str">
        <f t="shared" si="14"/>
        <v>http://www.biral.ch/fileadmin/Media/images/Planungstools/PumpStationSelector_DWG/FPS_1000_2.75_63_BF_11_F3</v>
      </c>
      <c r="N275" s="382" t="s">
        <v>1269</v>
      </c>
      <c r="O275" s="473" t="s">
        <v>1327</v>
      </c>
      <c r="P275">
        <v>1000</v>
      </c>
      <c r="Q275" s="388">
        <v>2.76</v>
      </c>
      <c r="R275" s="433">
        <v>2.75</v>
      </c>
    </row>
    <row r="276" spans="11:18" x14ac:dyDescent="0.25">
      <c r="K276" s="382" t="s">
        <v>1537</v>
      </c>
      <c r="L276" s="382" t="s">
        <v>992</v>
      </c>
      <c r="M276" s="432" t="str">
        <f t="shared" si="14"/>
        <v>http://www.biral.ch/fileadmin/Media/images/Planungstools/PumpStationSelector_DWG/FPS_1000_3.0_63_BF_11_F3</v>
      </c>
      <c r="N276" s="382" t="s">
        <v>1270</v>
      </c>
      <c r="O276" s="473" t="s">
        <v>1327</v>
      </c>
      <c r="P276">
        <v>1000</v>
      </c>
      <c r="Q276" s="388">
        <v>2.77</v>
      </c>
      <c r="R276" s="433">
        <v>2.75</v>
      </c>
    </row>
    <row r="277" spans="11:18" x14ac:dyDescent="0.25">
      <c r="K277" s="382" t="s">
        <v>1538</v>
      </c>
      <c r="L277" s="386" t="s">
        <v>999</v>
      </c>
      <c r="M277" s="432" t="str">
        <f t="shared" si="14"/>
        <v>http://www.biral.ch/fileadmin/Media/images/Planungstools/PumpStationSelector_DWG/FPS_1000_1.75_75_BF_11_F3</v>
      </c>
      <c r="N277" s="382" t="s">
        <v>1286</v>
      </c>
      <c r="O277" s="473" t="s">
        <v>1327</v>
      </c>
      <c r="P277">
        <v>1000</v>
      </c>
      <c r="Q277" s="388">
        <v>2.78</v>
      </c>
      <c r="R277" s="433">
        <v>2.75</v>
      </c>
    </row>
    <row r="278" spans="11:18" x14ac:dyDescent="0.25">
      <c r="K278" s="382" t="s">
        <v>1539</v>
      </c>
      <c r="L278" s="386" t="s">
        <v>1000</v>
      </c>
      <c r="M278" s="432" t="str">
        <f t="shared" si="14"/>
        <v>http://www.biral.ch/fileadmin/Media/images/Planungstools/PumpStationSelector_DWG/FPS_1000_2.0_75_BF_11_F3</v>
      </c>
      <c r="N278" s="382" t="s">
        <v>1287</v>
      </c>
      <c r="O278" s="473" t="s">
        <v>1327</v>
      </c>
      <c r="P278">
        <v>1000</v>
      </c>
      <c r="Q278" s="388">
        <v>2.79</v>
      </c>
      <c r="R278" s="433">
        <v>2.75</v>
      </c>
    </row>
    <row r="279" spans="11:18" x14ac:dyDescent="0.25">
      <c r="K279" s="382" t="s">
        <v>1540</v>
      </c>
      <c r="L279" s="386" t="s">
        <v>1001</v>
      </c>
      <c r="M279" s="432" t="str">
        <f t="shared" si="14"/>
        <v>http://www.biral.ch/fileadmin/Media/images/Planungstools/PumpStationSelector_DWG/FPS_1000_2.25_75_BF_11_F3</v>
      </c>
      <c r="N279" s="382" t="s">
        <v>1288</v>
      </c>
      <c r="O279" s="473" t="s">
        <v>1327</v>
      </c>
      <c r="P279">
        <v>1000</v>
      </c>
      <c r="Q279" s="388">
        <v>2.8</v>
      </c>
      <c r="R279" s="433">
        <v>2.75</v>
      </c>
    </row>
    <row r="280" spans="11:18" x14ac:dyDescent="0.25">
      <c r="K280" s="382" t="s">
        <v>1541</v>
      </c>
      <c r="L280" s="386" t="s">
        <v>1002</v>
      </c>
      <c r="M280" s="432" t="str">
        <f t="shared" si="14"/>
        <v>http://www.biral.ch/fileadmin/Media/images/Planungstools/PumpStationSelector_DWG/FPS_1000_2.5_75_BF_11_F3</v>
      </c>
      <c r="N280" s="382" t="s">
        <v>1289</v>
      </c>
      <c r="O280" s="473" t="s">
        <v>1327</v>
      </c>
      <c r="P280">
        <v>1000</v>
      </c>
      <c r="Q280" s="388">
        <v>2.81</v>
      </c>
      <c r="R280" s="433">
        <v>2.75</v>
      </c>
    </row>
    <row r="281" spans="11:18" x14ac:dyDescent="0.25">
      <c r="K281" s="382" t="s">
        <v>1542</v>
      </c>
      <c r="L281" s="386" t="s">
        <v>1003</v>
      </c>
      <c r="M281" s="432" t="str">
        <f t="shared" si="14"/>
        <v>http://www.biral.ch/fileadmin/Media/images/Planungstools/PumpStationSelector_DWG/FPS_1000_2.75_75_BF_11_F3</v>
      </c>
      <c r="N281" s="382" t="s">
        <v>1290</v>
      </c>
      <c r="O281" s="473" t="s">
        <v>1327</v>
      </c>
      <c r="P281">
        <v>1000</v>
      </c>
      <c r="Q281" s="388">
        <v>2.82</v>
      </c>
      <c r="R281" s="433">
        <v>2.75</v>
      </c>
    </row>
    <row r="282" spans="11:18" x14ac:dyDescent="0.25">
      <c r="K282" s="382" t="s">
        <v>1543</v>
      </c>
      <c r="L282" s="386" t="s">
        <v>1004</v>
      </c>
      <c r="M282" s="432" t="str">
        <f t="shared" si="14"/>
        <v>http://www.biral.ch/fileadmin/Media/images/Planungstools/PumpStationSelector_DWG/FPS_1000_3.0_75_BF_11_F3</v>
      </c>
      <c r="N282" s="382" t="s">
        <v>1291</v>
      </c>
      <c r="O282" s="473" t="s">
        <v>1327</v>
      </c>
      <c r="P282">
        <v>1000</v>
      </c>
      <c r="Q282" s="388">
        <v>2.83</v>
      </c>
      <c r="R282" s="433">
        <v>2.75</v>
      </c>
    </row>
    <row r="283" spans="11:18" x14ac:dyDescent="0.25">
      <c r="K283" s="382" t="s">
        <v>1544</v>
      </c>
      <c r="L283" s="387" t="s">
        <v>1005</v>
      </c>
      <c r="M283" s="432" t="str">
        <f t="shared" si="14"/>
        <v>http://www.biral.ch/fileadmin/Media/images/Planungstools/PumpStationSelector_DWG/FPS_1000_1.75_75_BF_12_F3</v>
      </c>
      <c r="N283" s="382" t="s">
        <v>1292</v>
      </c>
      <c r="O283" s="473" t="s">
        <v>1327</v>
      </c>
      <c r="P283">
        <v>1000</v>
      </c>
      <c r="Q283" s="388">
        <v>2.84</v>
      </c>
      <c r="R283" s="433">
        <v>2.75</v>
      </c>
    </row>
    <row r="284" spans="11:18" x14ac:dyDescent="0.25">
      <c r="K284" s="382" t="s">
        <v>1545</v>
      </c>
      <c r="L284" s="385" t="s">
        <v>1006</v>
      </c>
      <c r="M284" s="432" t="str">
        <f t="shared" ref="M284:M294" si="15">$M$57&amp;N284</f>
        <v>http://www.biral.ch/fileadmin/Media/images/Planungstools/PumpStationSelector_DWG/FPS_1000_2.0_75_BF_12_F3</v>
      </c>
      <c r="N284" s="382" t="s">
        <v>1293</v>
      </c>
      <c r="O284" s="473" t="s">
        <v>1327</v>
      </c>
      <c r="P284">
        <v>1000</v>
      </c>
      <c r="Q284" s="388">
        <v>2.85</v>
      </c>
      <c r="R284" s="433">
        <v>2.75</v>
      </c>
    </row>
    <row r="285" spans="11:18" x14ac:dyDescent="0.25">
      <c r="K285" s="382" t="s">
        <v>1546</v>
      </c>
      <c r="L285" s="385" t="s">
        <v>1007</v>
      </c>
      <c r="M285" s="432" t="str">
        <f t="shared" si="15"/>
        <v>http://www.biral.ch/fileadmin/Media/images/Planungstools/PumpStationSelector_DWG/FPS_1000_2.25_75_BF_12_F3</v>
      </c>
      <c r="N285" s="382" t="s">
        <v>1294</v>
      </c>
      <c r="O285" s="473" t="s">
        <v>1327</v>
      </c>
      <c r="P285">
        <v>1000</v>
      </c>
      <c r="Q285" s="388">
        <v>2.86</v>
      </c>
      <c r="R285" s="433">
        <v>2.75</v>
      </c>
    </row>
    <row r="286" spans="11:18" x14ac:dyDescent="0.25">
      <c r="K286" s="382" t="s">
        <v>1547</v>
      </c>
      <c r="L286" s="385" t="s">
        <v>1008</v>
      </c>
      <c r="M286" s="432" t="str">
        <f t="shared" si="15"/>
        <v>http://www.biral.ch/fileadmin/Media/images/Planungstools/PumpStationSelector_DWG/FPS_1000_2.5_75_BF_12_F3</v>
      </c>
      <c r="N286" s="382" t="s">
        <v>1295</v>
      </c>
      <c r="O286" s="473" t="s">
        <v>1327</v>
      </c>
      <c r="P286">
        <v>1000</v>
      </c>
      <c r="Q286" s="388">
        <v>2.87</v>
      </c>
      <c r="R286" s="433">
        <v>2.75</v>
      </c>
    </row>
    <row r="287" spans="11:18" x14ac:dyDescent="0.25">
      <c r="K287" s="382" t="s">
        <v>1548</v>
      </c>
      <c r="L287" s="385" t="s">
        <v>1009</v>
      </c>
      <c r="M287" s="432" t="str">
        <f t="shared" si="15"/>
        <v>http://www.biral.ch/fileadmin/Media/images/Planungstools/PumpStationSelector_DWG/FPS_1000_2.75_75_BF_12_F3</v>
      </c>
      <c r="N287" s="382" t="s">
        <v>1296</v>
      </c>
      <c r="O287" s="473" t="s">
        <v>1327</v>
      </c>
      <c r="P287">
        <v>1000</v>
      </c>
      <c r="Q287" s="388">
        <v>2.88</v>
      </c>
      <c r="R287" s="433">
        <v>2.75</v>
      </c>
    </row>
    <row r="288" spans="11:18" x14ac:dyDescent="0.25">
      <c r="K288" s="382" t="s">
        <v>1549</v>
      </c>
      <c r="L288" s="385" t="s">
        <v>1010</v>
      </c>
      <c r="M288" s="432" t="str">
        <f t="shared" si="15"/>
        <v>http://www.biral.ch/fileadmin/Media/images/Planungstools/PumpStationSelector_DWG/FPS_1000_3.0_75_BF_12_F3</v>
      </c>
      <c r="N288" s="382" t="s">
        <v>1297</v>
      </c>
      <c r="O288" s="473" t="s">
        <v>1327</v>
      </c>
      <c r="P288">
        <v>1000</v>
      </c>
      <c r="Q288" s="388">
        <v>2.89</v>
      </c>
      <c r="R288" s="433">
        <v>2.75</v>
      </c>
    </row>
    <row r="289" spans="11:18" x14ac:dyDescent="0.25">
      <c r="K289" s="382" t="s">
        <v>1550</v>
      </c>
      <c r="L289" s="385" t="s">
        <v>1011</v>
      </c>
      <c r="M289" s="432" t="str">
        <f t="shared" si="15"/>
        <v>http://www.biral.ch/fileadmin/Media/images/Planungstools/PumpStationSelector_DWG/nicht vorhanden</v>
      </c>
      <c r="N289" s="382" t="s">
        <v>1122</v>
      </c>
      <c r="P289">
        <v>1000</v>
      </c>
      <c r="Q289" s="388">
        <v>2.9</v>
      </c>
      <c r="R289" s="433">
        <v>2.75</v>
      </c>
    </row>
    <row r="290" spans="11:18" x14ac:dyDescent="0.25">
      <c r="K290" s="382" t="s">
        <v>1551</v>
      </c>
      <c r="L290" s="385" t="s">
        <v>1012</v>
      </c>
      <c r="M290" s="432" t="str">
        <f t="shared" si="15"/>
        <v>http://www.biral.ch/fileadmin/Media/images/Planungstools/PumpStationSelector_DWG/nicht vorhanden</v>
      </c>
      <c r="N290" s="382" t="s">
        <v>1122</v>
      </c>
      <c r="P290">
        <v>1000</v>
      </c>
      <c r="Q290" s="388">
        <v>2.91</v>
      </c>
      <c r="R290" s="433" t="s">
        <v>1094</v>
      </c>
    </row>
    <row r="291" spans="11:18" x14ac:dyDescent="0.25">
      <c r="K291" s="382" t="s">
        <v>1552</v>
      </c>
      <c r="L291" s="385" t="s">
        <v>1013</v>
      </c>
      <c r="M291" s="432" t="str">
        <f t="shared" si="15"/>
        <v>http://www.biral.ch/fileadmin/Media/images/Planungstools/PumpStationSelector_DWG/nicht vorhanden</v>
      </c>
      <c r="N291" s="382" t="s">
        <v>1122</v>
      </c>
      <c r="P291">
        <v>1000</v>
      </c>
      <c r="Q291" s="388">
        <v>2.92</v>
      </c>
      <c r="R291" s="433" t="s">
        <v>1094</v>
      </c>
    </row>
    <row r="292" spans="11:18" x14ac:dyDescent="0.25">
      <c r="K292" s="382" t="s">
        <v>1553</v>
      </c>
      <c r="L292" s="385" t="s">
        <v>1014</v>
      </c>
      <c r="M292" s="432" t="str">
        <f t="shared" si="15"/>
        <v>http://www.biral.ch/fileadmin/Media/images/Planungstools/PumpStationSelector_DWG/nicht vorhanden</v>
      </c>
      <c r="N292" s="382" t="s">
        <v>1122</v>
      </c>
      <c r="P292">
        <v>1000</v>
      </c>
      <c r="Q292" s="388">
        <v>2.93</v>
      </c>
      <c r="R292" s="433" t="s">
        <v>1094</v>
      </c>
    </row>
    <row r="293" spans="11:18" x14ac:dyDescent="0.25">
      <c r="K293" s="382" t="s">
        <v>1554</v>
      </c>
      <c r="L293" s="385" t="s">
        <v>1015</v>
      </c>
      <c r="M293" s="432" t="str">
        <f t="shared" si="15"/>
        <v>http://www.biral.ch/fileadmin/Media/images/Planungstools/PumpStationSelector_DWG/nicht vorhanden</v>
      </c>
      <c r="N293" s="382" t="s">
        <v>1122</v>
      </c>
      <c r="P293">
        <v>1000</v>
      </c>
      <c r="Q293" s="388">
        <v>2.94</v>
      </c>
      <c r="R293" t="s">
        <v>1094</v>
      </c>
    </row>
    <row r="294" spans="11:18" x14ac:dyDescent="0.25">
      <c r="K294" s="382" t="s">
        <v>1555</v>
      </c>
      <c r="L294" s="385" t="s">
        <v>1016</v>
      </c>
      <c r="M294" s="432" t="str">
        <f t="shared" si="15"/>
        <v>http://www.biral.ch/fileadmin/Media/images/Planungstools/PumpStationSelector_DWG/nicht vorhanden</v>
      </c>
      <c r="N294" s="382" t="s">
        <v>1122</v>
      </c>
      <c r="P294">
        <v>1000</v>
      </c>
      <c r="Q294" s="388">
        <v>2.95</v>
      </c>
      <c r="R294" t="s">
        <v>1094</v>
      </c>
    </row>
    <row r="295" spans="11:18" x14ac:dyDescent="0.25">
      <c r="M295" s="432" t="str">
        <f t="shared" ref="M295:M326" si="16">$M$57&amp;N295</f>
        <v>http://www.biral.ch/fileadmin/Media/images/Planungstools/PumpStationSelector_DWG/nicht vorhanden</v>
      </c>
      <c r="N295" s="382" t="s">
        <v>1122</v>
      </c>
      <c r="P295">
        <v>1000</v>
      </c>
      <c r="Q295" s="388">
        <v>2.96</v>
      </c>
      <c r="R295" t="s">
        <v>1094</v>
      </c>
    </row>
    <row r="296" spans="11:18" x14ac:dyDescent="0.25">
      <c r="M296" s="432" t="str">
        <f t="shared" si="16"/>
        <v>http://www.biral.ch/fileadmin/Media/images/Planungstools/PumpStationSelector_DWG/nicht vorhanden</v>
      </c>
      <c r="N296" s="382" t="s">
        <v>1122</v>
      </c>
      <c r="P296">
        <v>1000</v>
      </c>
      <c r="Q296" s="388">
        <v>2.97</v>
      </c>
      <c r="R296" t="s">
        <v>1094</v>
      </c>
    </row>
    <row r="297" spans="11:18" x14ac:dyDescent="0.25">
      <c r="K297" s="382" t="s">
        <v>1573</v>
      </c>
      <c r="L297" s="385" t="s">
        <v>1017</v>
      </c>
      <c r="M297" s="432" t="str">
        <f t="shared" si="16"/>
        <v>http://www.biral.ch/fileadmin/Media/images/Planungstools/PumpStationSelector_DWG/FPS_800_1.5_63_BF_12_F1</v>
      </c>
      <c r="N297" s="382" t="s">
        <v>1277</v>
      </c>
      <c r="O297" s="473" t="s">
        <v>1327</v>
      </c>
      <c r="P297">
        <v>1000</v>
      </c>
      <c r="Q297" s="388">
        <v>2.98</v>
      </c>
      <c r="R297" t="s">
        <v>1094</v>
      </c>
    </row>
    <row r="298" spans="11:18" x14ac:dyDescent="0.25">
      <c r="K298" s="382" t="s">
        <v>1574</v>
      </c>
      <c r="L298" s="385" t="s">
        <v>1018</v>
      </c>
      <c r="M298" s="432" t="str">
        <f t="shared" si="16"/>
        <v>http://www.biral.ch/fileadmin/Media/images/Planungstools/PumpStationSelector_DWG/FPS_800_2.0_63_BF_12_F1</v>
      </c>
      <c r="N298" s="382" t="s">
        <v>1283</v>
      </c>
      <c r="O298" s="473" t="s">
        <v>1327</v>
      </c>
      <c r="P298">
        <v>1000</v>
      </c>
      <c r="Q298" s="388">
        <v>2.99</v>
      </c>
      <c r="R298" t="s">
        <v>1094</v>
      </c>
    </row>
    <row r="299" spans="11:18" x14ac:dyDescent="0.25">
      <c r="K299" s="382" t="s">
        <v>1575</v>
      </c>
      <c r="L299" s="385" t="s">
        <v>1019</v>
      </c>
      <c r="M299" s="432" t="str">
        <f t="shared" si="16"/>
        <v>http://www.biral.ch/fileadmin/Media/images/Planungstools/PumpStationSelector_DWG/FPS_800_2.5_63_BF_12_F1</v>
      </c>
      <c r="N299" s="382" t="s">
        <v>1278</v>
      </c>
      <c r="O299" s="473" t="s">
        <v>1327</v>
      </c>
      <c r="P299">
        <v>1000</v>
      </c>
      <c r="Q299" s="388">
        <v>3</v>
      </c>
      <c r="R299" t="s">
        <v>1094</v>
      </c>
    </row>
    <row r="300" spans="11:18" x14ac:dyDescent="0.25">
      <c r="K300" s="382" t="s">
        <v>1576</v>
      </c>
      <c r="L300" s="385" t="s">
        <v>1017</v>
      </c>
      <c r="M300" s="432" t="str">
        <f t="shared" si="16"/>
        <v>http://www.biral.ch/fileadmin/Media/images/Planungstools/PumpStationSelector_DWG/FPS_800_1.5_63_BF_12_F1</v>
      </c>
      <c r="N300" s="382" t="s">
        <v>1277</v>
      </c>
      <c r="O300" s="473" t="s">
        <v>1327</v>
      </c>
      <c r="P300">
        <v>1000</v>
      </c>
      <c r="Q300" s="388">
        <v>3.01</v>
      </c>
      <c r="R300" t="s">
        <v>1094</v>
      </c>
    </row>
    <row r="301" spans="11:18" x14ac:dyDescent="0.25">
      <c r="K301" s="382" t="s">
        <v>1577</v>
      </c>
      <c r="L301" s="385" t="s">
        <v>1018</v>
      </c>
      <c r="M301" s="432" t="str">
        <f t="shared" si="16"/>
        <v>http://www.biral.ch/fileadmin/Media/images/Planungstools/PumpStationSelector_DWG/FPS_800_2.0_63_BF_12_F1</v>
      </c>
      <c r="N301" s="382" t="s">
        <v>1283</v>
      </c>
      <c r="O301" s="473" t="s">
        <v>1327</v>
      </c>
      <c r="P301">
        <v>1000</v>
      </c>
      <c r="Q301" s="388">
        <v>3.02</v>
      </c>
      <c r="R301" t="s">
        <v>1094</v>
      </c>
    </row>
    <row r="302" spans="11:18" x14ac:dyDescent="0.25">
      <c r="K302" s="382" t="s">
        <v>1578</v>
      </c>
      <c r="L302" s="385" t="s">
        <v>1019</v>
      </c>
      <c r="M302" s="432" t="str">
        <f t="shared" si="16"/>
        <v>http://www.biral.ch/fileadmin/Media/images/Planungstools/PumpStationSelector_DWG/FPS_800_2.5_63_BF_12_F1</v>
      </c>
      <c r="N302" s="382" t="s">
        <v>1278</v>
      </c>
      <c r="O302" s="473" t="s">
        <v>1327</v>
      </c>
      <c r="P302">
        <v>1000</v>
      </c>
      <c r="Q302" s="388">
        <v>3.03</v>
      </c>
      <c r="R302" t="s">
        <v>1094</v>
      </c>
    </row>
    <row r="303" spans="11:18" x14ac:dyDescent="0.25">
      <c r="K303" s="382" t="s">
        <v>1579</v>
      </c>
      <c r="L303" s="385" t="s">
        <v>1017</v>
      </c>
      <c r="M303" s="432" t="str">
        <f t="shared" si="16"/>
        <v>http://www.biral.ch/fileadmin/Media/images/Planungstools/PumpStationSelector_DWG/FPS_800_1.5_63_BF_12_F1</v>
      </c>
      <c r="N303" s="382" t="s">
        <v>1277</v>
      </c>
      <c r="O303" s="473" t="s">
        <v>1327</v>
      </c>
      <c r="P303">
        <v>1000</v>
      </c>
      <c r="Q303" s="388">
        <v>3.04</v>
      </c>
      <c r="R303" t="s">
        <v>1094</v>
      </c>
    </row>
    <row r="304" spans="11:18" x14ac:dyDescent="0.25">
      <c r="K304" s="382" t="s">
        <v>1580</v>
      </c>
      <c r="L304" s="385" t="s">
        <v>1018</v>
      </c>
      <c r="M304" s="432" t="str">
        <f t="shared" si="16"/>
        <v>http://www.biral.ch/fileadmin/Media/images/Planungstools/PumpStationSelector_DWG/FPS_800_2.0_63_BF_12_F1</v>
      </c>
      <c r="N304" s="382" t="s">
        <v>1283</v>
      </c>
      <c r="O304" s="473" t="s">
        <v>1327</v>
      </c>
      <c r="P304">
        <v>1000</v>
      </c>
      <c r="Q304" s="388">
        <v>3.05</v>
      </c>
      <c r="R304" t="s">
        <v>1094</v>
      </c>
    </row>
    <row r="305" spans="11:18" x14ac:dyDescent="0.25">
      <c r="K305" s="382" t="s">
        <v>1581</v>
      </c>
      <c r="L305" s="385" t="s">
        <v>1019</v>
      </c>
      <c r="M305" s="432" t="str">
        <f t="shared" si="16"/>
        <v>http://www.biral.ch/fileadmin/Media/images/Planungstools/PumpStationSelector_DWG/FPS_800_2.5_63_BF_12_F1</v>
      </c>
      <c r="N305" s="382" t="s">
        <v>1278</v>
      </c>
      <c r="O305" s="473" t="s">
        <v>1327</v>
      </c>
      <c r="P305">
        <v>1000</v>
      </c>
      <c r="Q305" s="388">
        <v>3.06</v>
      </c>
      <c r="R305" t="s">
        <v>1094</v>
      </c>
    </row>
    <row r="306" spans="11:18" x14ac:dyDescent="0.25">
      <c r="K306" s="382" t="s">
        <v>1582</v>
      </c>
      <c r="L306" s="385" t="s">
        <v>1017</v>
      </c>
      <c r="M306" s="432" t="str">
        <f t="shared" si="16"/>
        <v>http://www.biral.ch/fileadmin/Media/images/Planungstools/PumpStationSelector_DWG/FPS_800_1.5_63_BF_12_F1</v>
      </c>
      <c r="N306" s="382" t="s">
        <v>1277</v>
      </c>
      <c r="O306" s="473" t="s">
        <v>1327</v>
      </c>
      <c r="P306">
        <v>1000</v>
      </c>
      <c r="Q306" s="388">
        <v>3.07</v>
      </c>
      <c r="R306" t="s">
        <v>1094</v>
      </c>
    </row>
    <row r="307" spans="11:18" x14ac:dyDescent="0.25">
      <c r="K307" s="382" t="s">
        <v>1583</v>
      </c>
      <c r="L307" s="385" t="s">
        <v>1018</v>
      </c>
      <c r="M307" s="432" t="str">
        <f t="shared" si="16"/>
        <v>http://www.biral.ch/fileadmin/Media/images/Planungstools/PumpStationSelector_DWG/FPS_800_2.0_63_BF_12_F1</v>
      </c>
      <c r="N307" s="382" t="s">
        <v>1283</v>
      </c>
      <c r="O307" s="473" t="s">
        <v>1327</v>
      </c>
      <c r="P307">
        <v>1000</v>
      </c>
      <c r="Q307" s="388">
        <v>3.08</v>
      </c>
      <c r="R307" t="s">
        <v>1094</v>
      </c>
    </row>
    <row r="308" spans="11:18" x14ac:dyDescent="0.25">
      <c r="K308" s="382" t="s">
        <v>1584</v>
      </c>
      <c r="L308" s="385" t="s">
        <v>1019</v>
      </c>
      <c r="M308" s="432" t="str">
        <f t="shared" si="16"/>
        <v>http://www.biral.ch/fileadmin/Media/images/Planungstools/PumpStationSelector_DWG/FPS_800_2.5_63_BF_12_F1</v>
      </c>
      <c r="N308" s="382" t="s">
        <v>1278</v>
      </c>
      <c r="O308" s="473" t="s">
        <v>1327</v>
      </c>
      <c r="P308">
        <v>1000</v>
      </c>
      <c r="Q308" s="388">
        <v>3.09</v>
      </c>
      <c r="R308" t="s">
        <v>1094</v>
      </c>
    </row>
    <row r="309" spans="11:18" x14ac:dyDescent="0.25">
      <c r="K309" s="382" t="s">
        <v>1585</v>
      </c>
      <c r="L309" s="385" t="s">
        <v>1020</v>
      </c>
      <c r="M309" s="432" t="str">
        <f t="shared" si="16"/>
        <v>http://www.biral.ch/fileadmin/Media/images/Planungstools/PumpStationSelector_DWG/FPS_800_1.5_75_BF_12_F1</v>
      </c>
      <c r="N309" s="382" t="s">
        <v>1298</v>
      </c>
      <c r="O309" s="473" t="s">
        <v>1327</v>
      </c>
      <c r="P309">
        <v>1000</v>
      </c>
      <c r="Q309" s="388">
        <v>3.1</v>
      </c>
      <c r="R309" t="s">
        <v>1094</v>
      </c>
    </row>
    <row r="310" spans="11:18" x14ac:dyDescent="0.25">
      <c r="K310" s="382" t="s">
        <v>1586</v>
      </c>
      <c r="L310" s="385" t="s">
        <v>1021</v>
      </c>
      <c r="M310" s="432" t="str">
        <f t="shared" si="16"/>
        <v>http://www.biral.ch/fileadmin/Media/images/Planungstools/PumpStationSelector_DWG/FPS_800_2.0_75_BF_12_F1</v>
      </c>
      <c r="N310" s="382" t="s">
        <v>1305</v>
      </c>
      <c r="O310" s="473" t="s">
        <v>1327</v>
      </c>
      <c r="P310">
        <v>1000</v>
      </c>
      <c r="Q310" s="388">
        <v>3.11</v>
      </c>
      <c r="R310" t="s">
        <v>1094</v>
      </c>
    </row>
    <row r="311" spans="11:18" x14ac:dyDescent="0.25">
      <c r="K311" s="382" t="s">
        <v>1587</v>
      </c>
      <c r="L311" s="385" t="s">
        <v>1022</v>
      </c>
      <c r="M311" s="432" t="str">
        <f t="shared" si="16"/>
        <v>http://www.biral.ch/fileadmin/Media/images/Planungstools/PumpStationSelector_DWG/FPS_800_2.5_75_BF_12_F1</v>
      </c>
      <c r="N311" s="382" t="s">
        <v>1299</v>
      </c>
      <c r="O311" s="473" t="s">
        <v>1327</v>
      </c>
      <c r="P311">
        <v>1000</v>
      </c>
      <c r="Q311" s="388">
        <v>3.12</v>
      </c>
      <c r="R311" t="s">
        <v>1094</v>
      </c>
    </row>
    <row r="312" spans="11:18" x14ac:dyDescent="0.25">
      <c r="K312" s="382" t="s">
        <v>1588</v>
      </c>
      <c r="L312" s="385" t="s">
        <v>1023</v>
      </c>
      <c r="M312" s="432" t="str">
        <f t="shared" si="16"/>
        <v>http://www.biral.ch/fileadmin/Media/images/Planungstools/PumpStationSelector_DWG/nicht vorhanden</v>
      </c>
      <c r="N312" s="382" t="s">
        <v>1122</v>
      </c>
      <c r="P312">
        <v>1000</v>
      </c>
      <c r="Q312" s="388">
        <v>3.13</v>
      </c>
      <c r="R312" t="s">
        <v>1094</v>
      </c>
    </row>
    <row r="313" spans="11:18" x14ac:dyDescent="0.25">
      <c r="K313" s="382" t="s">
        <v>1589</v>
      </c>
      <c r="L313" s="385" t="s">
        <v>1024</v>
      </c>
      <c r="M313" s="432" t="str">
        <f t="shared" si="16"/>
        <v>http://www.biral.ch/fileadmin/Media/images/Planungstools/PumpStationSelector_DWG/nicht vorhanden</v>
      </c>
      <c r="N313" s="382" t="s">
        <v>1122</v>
      </c>
      <c r="P313">
        <v>1000</v>
      </c>
      <c r="Q313" s="388">
        <v>3.14</v>
      </c>
      <c r="R313" s="433">
        <v>3.25</v>
      </c>
    </row>
    <row r="314" spans="11:18" x14ac:dyDescent="0.25">
      <c r="K314" s="382" t="s">
        <v>1590</v>
      </c>
      <c r="L314" s="385" t="s">
        <v>1025</v>
      </c>
      <c r="M314" s="432" t="str">
        <f t="shared" si="16"/>
        <v>http://www.biral.ch/fileadmin/Media/images/Planungstools/PumpStationSelector_DWG/nicht vorhanden</v>
      </c>
      <c r="N314" s="382" t="s">
        <v>1122</v>
      </c>
      <c r="P314">
        <v>1000</v>
      </c>
      <c r="Q314" s="388">
        <v>3.15</v>
      </c>
      <c r="R314" s="433">
        <v>3.25</v>
      </c>
    </row>
    <row r="315" spans="11:18" x14ac:dyDescent="0.25">
      <c r="M315" s="432" t="str">
        <f t="shared" si="16"/>
        <v>http://www.biral.ch/fileadmin/Media/images/Planungstools/PumpStationSelector_DWG/nicht vorhanden</v>
      </c>
      <c r="N315" s="382" t="s">
        <v>1122</v>
      </c>
      <c r="P315">
        <v>1000</v>
      </c>
      <c r="Q315" s="388">
        <v>3.16</v>
      </c>
      <c r="R315" s="433">
        <v>3.25</v>
      </c>
    </row>
    <row r="316" spans="11:18" x14ac:dyDescent="0.25">
      <c r="M316" s="432" t="str">
        <f t="shared" si="16"/>
        <v>http://www.biral.ch/fileadmin/Media/images/Planungstools/PumpStationSelector_DWG/nicht vorhanden</v>
      </c>
      <c r="N316" s="382" t="s">
        <v>1122</v>
      </c>
      <c r="P316">
        <v>1000</v>
      </c>
      <c r="Q316" s="388">
        <v>3.17</v>
      </c>
      <c r="R316" s="433">
        <v>3.25</v>
      </c>
    </row>
    <row r="317" spans="11:18" x14ac:dyDescent="0.25">
      <c r="M317" s="432" t="str">
        <f t="shared" si="16"/>
        <v>http://www.biral.ch/fileadmin/Media/images/Planungstools/PumpStationSelector_DWG/nicht vorhanden</v>
      </c>
      <c r="N317" s="382" t="s">
        <v>1122</v>
      </c>
      <c r="P317">
        <v>1000</v>
      </c>
      <c r="Q317" s="388">
        <v>3.18</v>
      </c>
      <c r="R317" s="115">
        <v>3.25</v>
      </c>
    </row>
    <row r="318" spans="11:18" x14ac:dyDescent="0.25">
      <c r="K318" s="382" t="s">
        <v>1591</v>
      </c>
      <c r="L318" s="385" t="s">
        <v>1017</v>
      </c>
      <c r="M318" s="432" t="str">
        <f t="shared" si="16"/>
        <v>http://www.biral.ch/fileadmin/Media/images/Planungstools/PumpStationSelector_DWG/FPS_800_1.5_63_BF_12_F2</v>
      </c>
      <c r="N318" s="382" t="s">
        <v>1279</v>
      </c>
      <c r="O318" s="473" t="s">
        <v>1327</v>
      </c>
      <c r="P318">
        <v>1000</v>
      </c>
      <c r="Q318" s="388">
        <v>3.19</v>
      </c>
      <c r="R318" s="115">
        <v>3.25</v>
      </c>
    </row>
    <row r="319" spans="11:18" x14ac:dyDescent="0.25">
      <c r="K319" s="382" t="s">
        <v>1592</v>
      </c>
      <c r="L319" s="385" t="s">
        <v>1018</v>
      </c>
      <c r="M319" s="432" t="str">
        <f t="shared" si="16"/>
        <v>http://www.biral.ch/fileadmin/Media/images/Planungstools/PumpStationSelector_DWG/FPS_800_2.0_63_BF_12_F2</v>
      </c>
      <c r="N319" s="382" t="s">
        <v>1284</v>
      </c>
      <c r="O319" s="473" t="s">
        <v>1327</v>
      </c>
      <c r="P319">
        <v>1000</v>
      </c>
      <c r="Q319" s="388">
        <v>3.2</v>
      </c>
      <c r="R319" s="115">
        <v>3.25</v>
      </c>
    </row>
    <row r="320" spans="11:18" x14ac:dyDescent="0.25">
      <c r="K320" s="382" t="s">
        <v>1593</v>
      </c>
      <c r="L320" s="385" t="s">
        <v>1019</v>
      </c>
      <c r="M320" s="432" t="str">
        <f t="shared" si="16"/>
        <v>http://www.biral.ch/fileadmin/Media/images/Planungstools/PumpStationSelector_DWG/FPS_800_2.5_63_BF_12_F2</v>
      </c>
      <c r="N320" s="382" t="s">
        <v>1280</v>
      </c>
      <c r="O320" s="473" t="s">
        <v>1327</v>
      </c>
      <c r="P320">
        <v>1000</v>
      </c>
      <c r="Q320" s="388">
        <v>3.21</v>
      </c>
      <c r="R320" s="115">
        <v>3.25</v>
      </c>
    </row>
    <row r="321" spans="11:18" x14ac:dyDescent="0.25">
      <c r="K321" s="382" t="s">
        <v>1594</v>
      </c>
      <c r="L321" s="385" t="s">
        <v>1017</v>
      </c>
      <c r="M321" s="432" t="str">
        <f t="shared" si="16"/>
        <v>http://www.biral.ch/fileadmin/Media/images/Planungstools/PumpStationSelector_DWG/FPS_800_1.5_63_BF_12_F2</v>
      </c>
      <c r="N321" s="382" t="s">
        <v>1279</v>
      </c>
      <c r="O321" s="473" t="s">
        <v>1327</v>
      </c>
      <c r="P321">
        <v>1000</v>
      </c>
      <c r="Q321" s="388">
        <v>3.22</v>
      </c>
      <c r="R321" s="115">
        <v>3.25</v>
      </c>
    </row>
    <row r="322" spans="11:18" x14ac:dyDescent="0.25">
      <c r="K322" s="382" t="s">
        <v>1595</v>
      </c>
      <c r="L322" s="385" t="s">
        <v>1018</v>
      </c>
      <c r="M322" s="432" t="str">
        <f t="shared" si="16"/>
        <v>http://www.biral.ch/fileadmin/Media/images/Planungstools/PumpStationSelector_DWG/FPS_800_2.0_63_BF_12_F2</v>
      </c>
      <c r="N322" s="382" t="s">
        <v>1284</v>
      </c>
      <c r="O322" s="473" t="s">
        <v>1327</v>
      </c>
      <c r="P322">
        <v>1000</v>
      </c>
      <c r="Q322" s="388">
        <v>3.23</v>
      </c>
      <c r="R322" s="115">
        <v>3.25</v>
      </c>
    </row>
    <row r="323" spans="11:18" x14ac:dyDescent="0.25">
      <c r="K323" s="382" t="s">
        <v>1596</v>
      </c>
      <c r="L323" s="385" t="s">
        <v>1019</v>
      </c>
      <c r="M323" s="432" t="str">
        <f t="shared" si="16"/>
        <v>http://www.biral.ch/fileadmin/Media/images/Planungstools/PumpStationSelector_DWG/FPS_800_2.5_63_BF_12_F2</v>
      </c>
      <c r="N323" s="382" t="s">
        <v>1280</v>
      </c>
      <c r="O323" s="473" t="s">
        <v>1327</v>
      </c>
      <c r="P323">
        <v>1000</v>
      </c>
      <c r="Q323" s="388">
        <v>3.24</v>
      </c>
      <c r="R323" s="115">
        <v>3.25</v>
      </c>
    </row>
    <row r="324" spans="11:18" x14ac:dyDescent="0.25">
      <c r="K324" s="382" t="s">
        <v>1597</v>
      </c>
      <c r="L324" s="385" t="s">
        <v>1017</v>
      </c>
      <c r="M324" s="432" t="str">
        <f t="shared" si="16"/>
        <v>http://www.biral.ch/fileadmin/Media/images/Planungstools/PumpStationSelector_DWG/FPS_800_1.5_63_BF_12_F2</v>
      </c>
      <c r="N324" s="382" t="s">
        <v>1279</v>
      </c>
      <c r="O324" s="473" t="s">
        <v>1327</v>
      </c>
      <c r="P324">
        <v>1000</v>
      </c>
      <c r="Q324" s="388">
        <v>3.25</v>
      </c>
      <c r="R324" s="115">
        <v>3.25</v>
      </c>
    </row>
    <row r="325" spans="11:18" x14ac:dyDescent="0.25">
      <c r="K325" s="382" t="s">
        <v>1598</v>
      </c>
      <c r="L325" s="385" t="s">
        <v>1018</v>
      </c>
      <c r="M325" s="432" t="str">
        <f t="shared" si="16"/>
        <v>http://www.biral.ch/fileadmin/Media/images/Planungstools/PumpStationSelector_DWG/FPS_800_2.0_63_BF_12_F2</v>
      </c>
      <c r="N325" s="382" t="s">
        <v>1284</v>
      </c>
      <c r="O325" s="473" t="s">
        <v>1327</v>
      </c>
      <c r="P325">
        <v>1000</v>
      </c>
      <c r="Q325" s="388">
        <v>3.26</v>
      </c>
      <c r="R325" s="115">
        <v>3.25</v>
      </c>
    </row>
    <row r="326" spans="11:18" x14ac:dyDescent="0.25">
      <c r="K326" s="382" t="s">
        <v>1599</v>
      </c>
      <c r="L326" s="385" t="s">
        <v>1019</v>
      </c>
      <c r="M326" s="432" t="str">
        <f t="shared" si="16"/>
        <v>http://www.biral.ch/fileadmin/Media/images/Planungstools/PumpStationSelector_DWG/FPS_800_2.5_63_BF_12_F2</v>
      </c>
      <c r="N326" s="382" t="s">
        <v>1280</v>
      </c>
      <c r="O326" s="473" t="s">
        <v>1327</v>
      </c>
      <c r="P326">
        <v>1000</v>
      </c>
      <c r="Q326" s="388">
        <v>3.27</v>
      </c>
      <c r="R326" s="115">
        <v>3.25</v>
      </c>
    </row>
    <row r="327" spans="11:18" x14ac:dyDescent="0.25">
      <c r="K327" s="382" t="s">
        <v>1600</v>
      </c>
      <c r="L327" s="385" t="s">
        <v>1017</v>
      </c>
      <c r="M327" s="432" t="str">
        <f t="shared" ref="M327:M358" si="17">$M$57&amp;N327</f>
        <v>http://www.biral.ch/fileadmin/Media/images/Planungstools/PumpStationSelector_DWG/FPS_800_1.5_63_BF_12_F2</v>
      </c>
      <c r="N327" s="382" t="s">
        <v>1279</v>
      </c>
      <c r="O327" s="473" t="s">
        <v>1327</v>
      </c>
      <c r="P327">
        <v>1000</v>
      </c>
      <c r="Q327" s="388">
        <v>3.28</v>
      </c>
      <c r="R327" s="115">
        <v>3.25</v>
      </c>
    </row>
    <row r="328" spans="11:18" x14ac:dyDescent="0.25">
      <c r="K328" s="382" t="s">
        <v>1601</v>
      </c>
      <c r="L328" s="385" t="s">
        <v>1018</v>
      </c>
      <c r="M328" s="432" t="str">
        <f t="shared" si="17"/>
        <v>http://www.biral.ch/fileadmin/Media/images/Planungstools/PumpStationSelector_DWG/FPS_800_2.0_63_BF_12_F2</v>
      </c>
      <c r="N328" s="382" t="s">
        <v>1284</v>
      </c>
      <c r="O328" s="473" t="s">
        <v>1327</v>
      </c>
      <c r="P328">
        <v>1000</v>
      </c>
      <c r="Q328" s="388">
        <v>3.29</v>
      </c>
      <c r="R328" s="115">
        <v>3.25</v>
      </c>
    </row>
    <row r="329" spans="11:18" x14ac:dyDescent="0.25">
      <c r="K329" s="382" t="s">
        <v>1602</v>
      </c>
      <c r="L329" s="385" t="s">
        <v>1019</v>
      </c>
      <c r="M329" s="432" t="str">
        <f t="shared" si="17"/>
        <v>http://www.biral.ch/fileadmin/Media/images/Planungstools/PumpStationSelector_DWG/FPS_800_2.5_63_BF_12_F2</v>
      </c>
      <c r="N329" s="382" t="s">
        <v>1280</v>
      </c>
      <c r="O329" s="473" t="s">
        <v>1327</v>
      </c>
      <c r="P329">
        <v>1000</v>
      </c>
      <c r="Q329" s="388">
        <v>3.3</v>
      </c>
      <c r="R329" s="115">
        <v>3.25</v>
      </c>
    </row>
    <row r="330" spans="11:18" x14ac:dyDescent="0.25">
      <c r="K330" s="382" t="s">
        <v>1603</v>
      </c>
      <c r="L330" s="385" t="s">
        <v>1020</v>
      </c>
      <c r="M330" s="432" t="str">
        <f t="shared" si="17"/>
        <v>http://www.biral.ch/fileadmin/Media/images/Planungstools/PumpStationSelector_DWG/FPS_800_1.5_75_BF_12_F2</v>
      </c>
      <c r="N330" s="382" t="s">
        <v>1300</v>
      </c>
      <c r="O330" s="473" t="s">
        <v>1327</v>
      </c>
      <c r="P330">
        <v>1000</v>
      </c>
      <c r="Q330" s="388">
        <v>3.31</v>
      </c>
      <c r="R330" s="115">
        <v>3.25</v>
      </c>
    </row>
    <row r="331" spans="11:18" x14ac:dyDescent="0.25">
      <c r="K331" s="382" t="s">
        <v>1604</v>
      </c>
      <c r="L331" s="385" t="s">
        <v>1021</v>
      </c>
      <c r="M331" s="432" t="str">
        <f t="shared" si="17"/>
        <v>http://www.biral.ch/fileadmin/Media/images/Planungstools/PumpStationSelector_DWG/FPS_800_2.0_75_BF_12_F2</v>
      </c>
      <c r="N331" s="382" t="s">
        <v>1306</v>
      </c>
      <c r="O331" s="473" t="s">
        <v>1327</v>
      </c>
      <c r="P331">
        <v>1000</v>
      </c>
      <c r="Q331" s="388">
        <v>3.32</v>
      </c>
      <c r="R331" s="115">
        <v>3.25</v>
      </c>
    </row>
    <row r="332" spans="11:18" x14ac:dyDescent="0.25">
      <c r="K332" s="382" t="s">
        <v>1605</v>
      </c>
      <c r="L332" s="385" t="s">
        <v>1022</v>
      </c>
      <c r="M332" s="432" t="str">
        <f t="shared" si="17"/>
        <v>http://www.biral.ch/fileadmin/Media/images/Planungstools/PumpStationSelector_DWG/FPS_800_2.5_75_BF_12_F2</v>
      </c>
      <c r="N332" s="382" t="s">
        <v>1301</v>
      </c>
      <c r="O332" s="473" t="s">
        <v>1327</v>
      </c>
      <c r="P332">
        <v>1000</v>
      </c>
      <c r="Q332" s="388">
        <v>3.33</v>
      </c>
      <c r="R332" s="115">
        <v>3.25</v>
      </c>
    </row>
    <row r="333" spans="11:18" x14ac:dyDescent="0.25">
      <c r="K333" s="382" t="s">
        <v>1606</v>
      </c>
      <c r="L333" s="385" t="s">
        <v>1023</v>
      </c>
      <c r="M333" s="432" t="str">
        <f t="shared" si="17"/>
        <v>http://www.biral.ch/fileadmin/Media/images/Planungstools/PumpStationSelector_DWG/nicht vorhanden</v>
      </c>
      <c r="N333" s="382" t="s">
        <v>1122</v>
      </c>
      <c r="P333">
        <v>1000</v>
      </c>
      <c r="Q333" s="388">
        <v>3.34</v>
      </c>
      <c r="R333" s="115">
        <v>3.25</v>
      </c>
    </row>
    <row r="334" spans="11:18" x14ac:dyDescent="0.25">
      <c r="K334" s="382" t="s">
        <v>1607</v>
      </c>
      <c r="L334" s="385" t="s">
        <v>1024</v>
      </c>
      <c r="M334" s="432" t="str">
        <f t="shared" si="17"/>
        <v>http://www.biral.ch/fileadmin/Media/images/Planungstools/PumpStationSelector_DWG/nicht vorhanden</v>
      </c>
      <c r="N334" s="382" t="s">
        <v>1122</v>
      </c>
      <c r="P334">
        <v>1000</v>
      </c>
      <c r="Q334" s="388">
        <v>3.35</v>
      </c>
      <c r="R334" s="115">
        <v>3.25</v>
      </c>
    </row>
    <row r="335" spans="11:18" x14ac:dyDescent="0.25">
      <c r="K335" s="382" t="s">
        <v>1608</v>
      </c>
      <c r="L335" s="385" t="s">
        <v>1025</v>
      </c>
      <c r="M335" s="432" t="str">
        <f t="shared" si="17"/>
        <v>http://www.biral.ch/fileadmin/Media/images/Planungstools/PumpStationSelector_DWG/nicht vorhanden</v>
      </c>
      <c r="N335" s="382" t="s">
        <v>1122</v>
      </c>
      <c r="P335">
        <v>1000</v>
      </c>
      <c r="Q335" s="388">
        <v>3.36</v>
      </c>
      <c r="R335" s="115">
        <v>3.25</v>
      </c>
    </row>
    <row r="336" spans="11:18" x14ac:dyDescent="0.25">
      <c r="M336" s="432" t="str">
        <f t="shared" si="17"/>
        <v>http://www.biral.ch/fileadmin/Media/images/Planungstools/PumpStationSelector_DWG/nicht vorhanden</v>
      </c>
      <c r="N336" s="382" t="s">
        <v>1122</v>
      </c>
      <c r="P336">
        <v>1000</v>
      </c>
      <c r="Q336" s="388">
        <v>3.37</v>
      </c>
      <c r="R336" s="115">
        <v>3.25</v>
      </c>
    </row>
    <row r="337" spans="11:18" x14ac:dyDescent="0.25">
      <c r="M337" s="432" t="str">
        <f t="shared" si="17"/>
        <v>http://www.biral.ch/fileadmin/Media/images/Planungstools/PumpStationSelector_DWG/nicht vorhanden</v>
      </c>
      <c r="N337" s="382" t="s">
        <v>1122</v>
      </c>
      <c r="P337">
        <v>1000</v>
      </c>
      <c r="Q337" s="388">
        <v>3.38</v>
      </c>
      <c r="R337" s="115">
        <v>3.25</v>
      </c>
    </row>
    <row r="338" spans="11:18" x14ac:dyDescent="0.25">
      <c r="M338" s="432" t="str">
        <f t="shared" si="17"/>
        <v>http://www.biral.ch/fileadmin/Media/images/Planungstools/PumpStationSelector_DWG/nicht vorhanden</v>
      </c>
      <c r="N338" s="382" t="s">
        <v>1122</v>
      </c>
      <c r="P338">
        <v>1000</v>
      </c>
      <c r="Q338" s="388">
        <v>3.39</v>
      </c>
      <c r="R338" s="433">
        <v>3.5</v>
      </c>
    </row>
    <row r="339" spans="11:18" x14ac:dyDescent="0.25">
      <c r="K339" s="382" t="s">
        <v>1556</v>
      </c>
      <c r="L339" s="385" t="s">
        <v>1017</v>
      </c>
      <c r="M339" s="432" t="str">
        <f t="shared" si="17"/>
        <v>http://www.biral.ch/fileadmin/Media/images/Planungstools/PumpStationSelector_DWG/FPS_800_1.5_63_BF_12_F3</v>
      </c>
      <c r="N339" s="382" t="s">
        <v>1281</v>
      </c>
      <c r="O339" s="473" t="s">
        <v>1327</v>
      </c>
      <c r="P339">
        <v>1000</v>
      </c>
      <c r="Q339" s="388">
        <v>3.4</v>
      </c>
      <c r="R339" s="433">
        <v>3.5</v>
      </c>
    </row>
    <row r="340" spans="11:18" x14ac:dyDescent="0.25">
      <c r="K340" s="382" t="s">
        <v>1557</v>
      </c>
      <c r="L340" s="385" t="s">
        <v>1018</v>
      </c>
      <c r="M340" s="432" t="str">
        <f t="shared" si="17"/>
        <v>http://www.biral.ch/fileadmin/Media/images/Planungstools/PumpStationSelector_DWG/FPS_800_2.0_63_BF_12_F3</v>
      </c>
      <c r="N340" s="382" t="s">
        <v>1285</v>
      </c>
      <c r="O340" s="473" t="s">
        <v>1327</v>
      </c>
      <c r="P340">
        <v>1000</v>
      </c>
      <c r="Q340" s="388">
        <v>3.41</v>
      </c>
      <c r="R340" s="433">
        <v>3.5</v>
      </c>
    </row>
    <row r="341" spans="11:18" x14ac:dyDescent="0.25">
      <c r="K341" s="382" t="s">
        <v>1558</v>
      </c>
      <c r="L341" s="385" t="s">
        <v>1019</v>
      </c>
      <c r="M341" s="432" t="str">
        <f t="shared" si="17"/>
        <v>http://www.biral.ch/fileadmin/Media/images/Planungstools/PumpStationSelector_DWG/FPS_800_2.5_63_BF_12_F3</v>
      </c>
      <c r="N341" s="382" t="s">
        <v>1282</v>
      </c>
      <c r="O341" s="473" t="s">
        <v>1327</v>
      </c>
      <c r="P341">
        <v>1000</v>
      </c>
      <c r="Q341" s="388">
        <v>3.42</v>
      </c>
      <c r="R341" s="433">
        <v>3.5</v>
      </c>
    </row>
    <row r="342" spans="11:18" x14ac:dyDescent="0.25">
      <c r="K342" s="382" t="s">
        <v>1559</v>
      </c>
      <c r="L342" s="385" t="s">
        <v>1017</v>
      </c>
      <c r="M342" s="432" t="str">
        <f t="shared" si="17"/>
        <v>http://www.biral.ch/fileadmin/Media/images/Planungstools/PumpStationSelector_DWG/FPS_800_1.5_63_BF_12_F3</v>
      </c>
      <c r="N342" s="382" t="s">
        <v>1281</v>
      </c>
      <c r="O342" s="473" t="s">
        <v>1327</v>
      </c>
      <c r="P342">
        <v>1000</v>
      </c>
      <c r="Q342" s="388">
        <v>3.43</v>
      </c>
      <c r="R342" s="433">
        <v>3.5</v>
      </c>
    </row>
    <row r="343" spans="11:18" x14ac:dyDescent="0.25">
      <c r="K343" s="382" t="s">
        <v>1560</v>
      </c>
      <c r="L343" s="385" t="s">
        <v>1018</v>
      </c>
      <c r="M343" s="432" t="str">
        <f t="shared" si="17"/>
        <v>http://www.biral.ch/fileadmin/Media/images/Planungstools/PumpStationSelector_DWG/FPS_800_2.0_63_BF_12_F3</v>
      </c>
      <c r="N343" s="382" t="s">
        <v>1285</v>
      </c>
      <c r="O343" s="473" t="s">
        <v>1327</v>
      </c>
      <c r="P343">
        <v>1000</v>
      </c>
      <c r="Q343" s="388">
        <v>3.44</v>
      </c>
      <c r="R343" s="433">
        <v>3.5</v>
      </c>
    </row>
    <row r="344" spans="11:18" x14ac:dyDescent="0.25">
      <c r="K344" s="382" t="s">
        <v>1561</v>
      </c>
      <c r="L344" s="385" t="s">
        <v>1019</v>
      </c>
      <c r="M344" s="432" t="str">
        <f t="shared" si="17"/>
        <v>http://www.biral.ch/fileadmin/Media/images/Planungstools/PumpStationSelector_DWG/FPS_800_2.5_63_BF_12_F3</v>
      </c>
      <c r="N344" s="382" t="s">
        <v>1282</v>
      </c>
      <c r="O344" s="473" t="s">
        <v>1327</v>
      </c>
      <c r="P344">
        <v>1000</v>
      </c>
      <c r="Q344" s="388">
        <v>3.45</v>
      </c>
      <c r="R344" s="433">
        <v>3.5</v>
      </c>
    </row>
    <row r="345" spans="11:18" x14ac:dyDescent="0.25">
      <c r="K345" s="382" t="s">
        <v>1562</v>
      </c>
      <c r="L345" s="385" t="s">
        <v>1017</v>
      </c>
      <c r="M345" s="432" t="str">
        <f t="shared" si="17"/>
        <v>http://www.biral.ch/fileadmin/Media/images/Planungstools/PumpStationSelector_DWG/FPS_800_1.5_63_BF_12_F3</v>
      </c>
      <c r="N345" s="382" t="s">
        <v>1281</v>
      </c>
      <c r="O345" s="473" t="s">
        <v>1327</v>
      </c>
      <c r="P345">
        <v>1000</v>
      </c>
      <c r="Q345" s="388">
        <v>3.46</v>
      </c>
      <c r="R345" s="433">
        <v>3.5</v>
      </c>
    </row>
    <row r="346" spans="11:18" x14ac:dyDescent="0.25">
      <c r="K346" s="382" t="s">
        <v>1563</v>
      </c>
      <c r="L346" s="385" t="s">
        <v>1018</v>
      </c>
      <c r="M346" s="432" t="str">
        <f t="shared" si="17"/>
        <v>http://www.biral.ch/fileadmin/Media/images/Planungstools/PumpStationSelector_DWG/FPS_800_2.0_63_BF_12_F3</v>
      </c>
      <c r="N346" s="382" t="s">
        <v>1285</v>
      </c>
      <c r="O346" s="473" t="s">
        <v>1327</v>
      </c>
      <c r="P346">
        <v>1000</v>
      </c>
      <c r="Q346" s="388">
        <v>3.47</v>
      </c>
      <c r="R346" s="433">
        <v>3.5</v>
      </c>
    </row>
    <row r="347" spans="11:18" x14ac:dyDescent="0.25">
      <c r="K347" s="382" t="s">
        <v>1564</v>
      </c>
      <c r="L347" s="385" t="s">
        <v>1019</v>
      </c>
      <c r="M347" s="432" t="str">
        <f t="shared" si="17"/>
        <v>http://www.biral.ch/fileadmin/Media/images/Planungstools/PumpStationSelector_DWG/FPS_800_2.5_63_BF_12_F3</v>
      </c>
      <c r="N347" s="382" t="s">
        <v>1282</v>
      </c>
      <c r="O347" s="473" t="s">
        <v>1327</v>
      </c>
      <c r="P347">
        <v>1000</v>
      </c>
      <c r="Q347" s="388">
        <v>3.48</v>
      </c>
      <c r="R347" s="433">
        <v>3.5</v>
      </c>
    </row>
    <row r="348" spans="11:18" x14ac:dyDescent="0.25">
      <c r="K348" s="382" t="s">
        <v>1565</v>
      </c>
      <c r="L348" s="385" t="s">
        <v>1017</v>
      </c>
      <c r="M348" s="432" t="str">
        <f t="shared" si="17"/>
        <v>http://www.biral.ch/fileadmin/Media/images/Planungstools/PumpStationSelector_DWG/FPS_800_1.5_63_BF_12_F3</v>
      </c>
      <c r="N348" s="382" t="s">
        <v>1281</v>
      </c>
      <c r="O348" s="473" t="s">
        <v>1327</v>
      </c>
      <c r="P348">
        <v>1000</v>
      </c>
      <c r="Q348" s="388">
        <v>3.49</v>
      </c>
      <c r="R348" s="433">
        <v>3.5</v>
      </c>
    </row>
    <row r="349" spans="11:18" x14ac:dyDescent="0.25">
      <c r="K349" s="382" t="s">
        <v>1566</v>
      </c>
      <c r="L349" s="385" t="s">
        <v>1018</v>
      </c>
      <c r="M349" s="432" t="str">
        <f t="shared" si="17"/>
        <v>http://www.biral.ch/fileadmin/Media/images/Planungstools/PumpStationSelector_DWG/FPS_800_2.0_63_BF_12_F3</v>
      </c>
      <c r="N349" s="382" t="s">
        <v>1285</v>
      </c>
      <c r="O349" s="473" t="s">
        <v>1327</v>
      </c>
      <c r="P349">
        <v>1000</v>
      </c>
      <c r="Q349" s="388">
        <v>3.5</v>
      </c>
      <c r="R349" s="433">
        <v>3.5</v>
      </c>
    </row>
    <row r="350" spans="11:18" x14ac:dyDescent="0.25">
      <c r="K350" s="382" t="s">
        <v>1567</v>
      </c>
      <c r="L350" s="385" t="s">
        <v>1019</v>
      </c>
      <c r="M350" s="432" t="str">
        <f t="shared" si="17"/>
        <v>http://www.biral.ch/fileadmin/Media/images/Planungstools/PumpStationSelector_DWG/FPS_800_2.5_63_BF_12_F3</v>
      </c>
      <c r="N350" s="382" t="s">
        <v>1282</v>
      </c>
      <c r="O350" s="473" t="s">
        <v>1327</v>
      </c>
      <c r="P350">
        <v>1000</v>
      </c>
      <c r="Q350" s="388">
        <v>3.51</v>
      </c>
      <c r="R350" s="433">
        <v>3.5</v>
      </c>
    </row>
    <row r="351" spans="11:18" x14ac:dyDescent="0.25">
      <c r="K351" s="382" t="s">
        <v>1568</v>
      </c>
      <c r="L351" s="385" t="s">
        <v>1020</v>
      </c>
      <c r="M351" s="432" t="str">
        <f t="shared" si="17"/>
        <v>http://www.biral.ch/fileadmin/Media/images/Planungstools/PumpStationSelector_DWG/FPS_800_1.5_75_BF_12_F3</v>
      </c>
      <c r="N351" s="382" t="s">
        <v>1302</v>
      </c>
      <c r="O351" s="473" t="s">
        <v>1327</v>
      </c>
      <c r="P351">
        <v>1000</v>
      </c>
      <c r="Q351" s="388">
        <v>3.52</v>
      </c>
      <c r="R351" s="433">
        <v>3.5</v>
      </c>
    </row>
    <row r="352" spans="11:18" x14ac:dyDescent="0.25">
      <c r="K352" s="382" t="s">
        <v>1569</v>
      </c>
      <c r="L352" s="385" t="s">
        <v>1021</v>
      </c>
      <c r="M352" s="432" t="str">
        <f t="shared" si="17"/>
        <v>http://www.biral.ch/fileadmin/Media/images/Planungstools/PumpStationSelector_DWG/FPS_800_2.0_75_BF_12_F3</v>
      </c>
      <c r="N352" s="382" t="s">
        <v>1304</v>
      </c>
      <c r="O352" s="473" t="s">
        <v>1327</v>
      </c>
      <c r="P352">
        <v>1000</v>
      </c>
      <c r="Q352" s="388">
        <v>3.53</v>
      </c>
      <c r="R352" s="433">
        <v>3.5</v>
      </c>
    </row>
    <row r="353" spans="11:18" x14ac:dyDescent="0.25">
      <c r="K353" s="382" t="s">
        <v>1570</v>
      </c>
      <c r="L353" s="385" t="s">
        <v>1022</v>
      </c>
      <c r="M353" s="432" t="str">
        <f t="shared" si="17"/>
        <v>http://www.biral.ch/fileadmin/Media/images/Planungstools/PumpStationSelector_DWG/FPS_800_2.5_75_BF_12_F3</v>
      </c>
      <c r="N353" s="382" t="s">
        <v>1303</v>
      </c>
      <c r="O353" s="473" t="s">
        <v>1327</v>
      </c>
      <c r="P353">
        <v>1000</v>
      </c>
      <c r="Q353" s="388">
        <v>3.54</v>
      </c>
      <c r="R353" s="433">
        <v>3.5</v>
      </c>
    </row>
    <row r="354" spans="11:18" x14ac:dyDescent="0.25">
      <c r="K354" s="382" t="s">
        <v>1571</v>
      </c>
      <c r="L354" s="385" t="s">
        <v>1023</v>
      </c>
      <c r="M354" s="432" t="str">
        <f t="shared" si="17"/>
        <v>http://www.biral.ch/fileadmin/Media/images/Planungstools/PumpStationSelector_DWG/nicht vorhanden</v>
      </c>
      <c r="N354" s="382" t="s">
        <v>1122</v>
      </c>
      <c r="P354">
        <v>1000</v>
      </c>
      <c r="Q354" s="388">
        <v>3.55</v>
      </c>
      <c r="R354" s="433">
        <v>3.5</v>
      </c>
    </row>
    <row r="355" spans="11:18" x14ac:dyDescent="0.25">
      <c r="K355" s="382" t="s">
        <v>1609</v>
      </c>
      <c r="L355" s="385" t="s">
        <v>1024</v>
      </c>
      <c r="M355" s="432" t="str">
        <f t="shared" si="17"/>
        <v>http://www.biral.ch/fileadmin/Media/images/Planungstools/PumpStationSelector_DWG/nicht vorhanden</v>
      </c>
      <c r="N355" s="382" t="s">
        <v>1122</v>
      </c>
      <c r="P355">
        <v>1000</v>
      </c>
      <c r="Q355" s="388">
        <v>3.56</v>
      </c>
      <c r="R355" s="433">
        <v>3.5</v>
      </c>
    </row>
    <row r="356" spans="11:18" x14ac:dyDescent="0.25">
      <c r="K356" s="382" t="s">
        <v>1572</v>
      </c>
      <c r="L356" s="385" t="s">
        <v>1025</v>
      </c>
      <c r="M356" s="432" t="str">
        <f t="shared" si="17"/>
        <v>http://www.biral.ch/fileadmin/Media/images/Planungstools/PumpStationSelector_DWG/nicht vorhanden</v>
      </c>
      <c r="N356" s="382" t="s">
        <v>1122</v>
      </c>
      <c r="P356">
        <v>1000</v>
      </c>
      <c r="Q356" s="388">
        <v>3.57</v>
      </c>
      <c r="R356" s="433">
        <v>3.5</v>
      </c>
    </row>
    <row r="357" spans="11:18" x14ac:dyDescent="0.25">
      <c r="M357" s="432" t="str">
        <f t="shared" si="17"/>
        <v>http://www.biral.ch/fileadmin/Media/images/Planungstools/PumpStationSelector_DWG/nicht vorhanden</v>
      </c>
      <c r="N357" s="382" t="s">
        <v>1122</v>
      </c>
      <c r="P357">
        <v>1000</v>
      </c>
      <c r="Q357" s="388">
        <v>3.58</v>
      </c>
      <c r="R357" s="433">
        <v>3.5</v>
      </c>
    </row>
    <row r="358" spans="11:18" x14ac:dyDescent="0.25">
      <c r="K358" s="382" t="str">
        <f t="shared" ref="K358:K376" si="18">$B$157&amp;"_"&amp;C158&amp;$E$158&amp;"_600"&amp;$F$158</f>
        <v>NSK_1250_1500_63_600_1P</v>
      </c>
      <c r="L358" s="384" t="str">
        <f>Sprachen!$E$266</f>
        <v>nessuno</v>
      </c>
      <c r="M358" s="432" t="str">
        <f t="shared" si="17"/>
        <v>http://www.biral.ch/fileadmin/Media/images/Planungstools/PumpStationSelector_DWG/NSK_1250_1500_63_600_1P</v>
      </c>
      <c r="N358" s="382" t="str">
        <f>K358</f>
        <v>NSK_1250_1500_63_600_1P</v>
      </c>
      <c r="P358">
        <v>1000</v>
      </c>
      <c r="Q358" s="388">
        <v>3.59</v>
      </c>
      <c r="R358" s="433">
        <v>3.5</v>
      </c>
    </row>
    <row r="359" spans="11:18" x14ac:dyDescent="0.25">
      <c r="K359" s="382" t="str">
        <f t="shared" si="18"/>
        <v>NSK_1250_1750_63_600_1P</v>
      </c>
      <c r="L359" s="384" t="str">
        <f>Sprachen!$E$266</f>
        <v>nessuno</v>
      </c>
      <c r="M359" s="432" t="str">
        <f t="shared" ref="M359:M378" si="19">$M$57&amp;N359</f>
        <v>http://www.biral.ch/fileadmin/Media/images/Planungstools/PumpStationSelector_DWG/NSK_1250_1750_63_600_1P</v>
      </c>
      <c r="N359" s="382" t="str">
        <f t="shared" ref="N359:N422" si="20">K359</f>
        <v>NSK_1250_1750_63_600_1P</v>
      </c>
      <c r="P359">
        <v>1000</v>
      </c>
      <c r="Q359" s="388">
        <v>3.6</v>
      </c>
      <c r="R359" s="433">
        <v>3.5</v>
      </c>
    </row>
    <row r="360" spans="11:18" x14ac:dyDescent="0.25">
      <c r="K360" s="382" t="str">
        <f t="shared" si="18"/>
        <v>NSK_1250_2000_63_600_1P</v>
      </c>
      <c r="L360" s="384" t="str">
        <f>Sprachen!$E$266</f>
        <v>nessuno</v>
      </c>
      <c r="M360" s="432" t="str">
        <f t="shared" si="19"/>
        <v>http://www.biral.ch/fileadmin/Media/images/Planungstools/PumpStationSelector_DWG/NSK_1250_2000_63_600_1P</v>
      </c>
      <c r="N360" s="382" t="str">
        <f t="shared" si="20"/>
        <v>NSK_1250_2000_63_600_1P</v>
      </c>
      <c r="P360">
        <v>1000</v>
      </c>
      <c r="Q360" s="388">
        <v>3.61</v>
      </c>
      <c r="R360" s="433">
        <v>3.5</v>
      </c>
    </row>
    <row r="361" spans="11:18" x14ac:dyDescent="0.25">
      <c r="K361" s="382" t="str">
        <f t="shared" si="18"/>
        <v>NSK_1250_2250_63_600_1P</v>
      </c>
      <c r="L361" s="384" t="str">
        <f>Sprachen!$E$266</f>
        <v>nessuno</v>
      </c>
      <c r="M361" s="432" t="str">
        <f t="shared" si="19"/>
        <v>http://www.biral.ch/fileadmin/Media/images/Planungstools/PumpStationSelector_DWG/NSK_1250_2250_63_600_1P</v>
      </c>
      <c r="N361" s="382" t="str">
        <f t="shared" si="20"/>
        <v>NSK_1250_2250_63_600_1P</v>
      </c>
      <c r="P361">
        <v>1000</v>
      </c>
      <c r="Q361" s="388">
        <v>3.62</v>
      </c>
      <c r="R361" s="433">
        <v>3.5</v>
      </c>
    </row>
    <row r="362" spans="11:18" x14ac:dyDescent="0.25">
      <c r="K362" s="382" t="str">
        <f t="shared" si="18"/>
        <v>NSK_1250_2500_63_600_1P</v>
      </c>
      <c r="L362" s="384" t="str">
        <f>Sprachen!$E$266</f>
        <v>nessuno</v>
      </c>
      <c r="M362" s="432" t="str">
        <f t="shared" si="19"/>
        <v>http://www.biral.ch/fileadmin/Media/images/Planungstools/PumpStationSelector_DWG/NSK_1250_2500_63_600_1P</v>
      </c>
      <c r="N362" s="382" t="str">
        <f t="shared" si="20"/>
        <v>NSK_1250_2500_63_600_1P</v>
      </c>
      <c r="P362">
        <v>1000</v>
      </c>
      <c r="Q362" s="388">
        <v>3.63</v>
      </c>
      <c r="R362" s="433">
        <v>3.5</v>
      </c>
    </row>
    <row r="363" spans="11:18" x14ac:dyDescent="0.25">
      <c r="K363" s="382" t="str">
        <f t="shared" si="18"/>
        <v>NSK_1250_2750_63_600_1P</v>
      </c>
      <c r="L363" s="384" t="str">
        <f>Sprachen!$E$266</f>
        <v>nessuno</v>
      </c>
      <c r="M363" s="432" t="str">
        <f t="shared" si="19"/>
        <v>http://www.biral.ch/fileadmin/Media/images/Planungstools/PumpStationSelector_DWG/NSK_1250_2750_63_600_1P</v>
      </c>
      <c r="N363" s="382" t="str">
        <f t="shared" si="20"/>
        <v>NSK_1250_2750_63_600_1P</v>
      </c>
      <c r="P363">
        <v>1000</v>
      </c>
      <c r="Q363" s="388">
        <v>3.64</v>
      </c>
      <c r="R363" s="433">
        <v>3.75</v>
      </c>
    </row>
    <row r="364" spans="11:18" x14ac:dyDescent="0.25">
      <c r="K364" s="382" t="str">
        <f t="shared" si="18"/>
        <v>NSK_1250_3000_63_600_1P</v>
      </c>
      <c r="L364" s="384" t="str">
        <f>Sprachen!$E$266</f>
        <v>nessuno</v>
      </c>
      <c r="M364" s="432" t="str">
        <f t="shared" si="19"/>
        <v>http://www.biral.ch/fileadmin/Media/images/Planungstools/PumpStationSelector_DWG/NSK_1250_3000_63_600_1P</v>
      </c>
      <c r="N364" s="382" t="str">
        <f t="shared" si="20"/>
        <v>NSK_1250_3000_63_600_1P</v>
      </c>
      <c r="P364">
        <v>1000</v>
      </c>
      <c r="Q364" s="388">
        <v>3.65</v>
      </c>
      <c r="R364" s="433">
        <v>3.75</v>
      </c>
    </row>
    <row r="365" spans="11:18" x14ac:dyDescent="0.25">
      <c r="K365" s="382" t="str">
        <f t="shared" si="18"/>
        <v>NSK_1250_3250_63_600_1P</v>
      </c>
      <c r="L365" s="384" t="str">
        <f>Sprachen!$E$266</f>
        <v>nessuno</v>
      </c>
      <c r="M365" s="432" t="str">
        <f t="shared" si="19"/>
        <v>http://www.biral.ch/fileadmin/Media/images/Planungstools/PumpStationSelector_DWG/NSK_1250_3250_63_600_1P</v>
      </c>
      <c r="N365" s="382" t="str">
        <f t="shared" si="20"/>
        <v>NSK_1250_3250_63_600_1P</v>
      </c>
      <c r="P365">
        <v>1000</v>
      </c>
      <c r="Q365" s="388">
        <v>3.66</v>
      </c>
      <c r="R365" s="433">
        <v>3.75</v>
      </c>
    </row>
    <row r="366" spans="11:18" x14ac:dyDescent="0.25">
      <c r="K366" s="382" t="str">
        <f t="shared" si="18"/>
        <v>NSK_1250_3500_63_600_1P</v>
      </c>
      <c r="L366" s="384" t="str">
        <f>Sprachen!$E$266</f>
        <v>nessuno</v>
      </c>
      <c r="M366" s="432" t="str">
        <f t="shared" si="19"/>
        <v>http://www.biral.ch/fileadmin/Media/images/Planungstools/PumpStationSelector_DWG/NSK_1250_3500_63_600_1P</v>
      </c>
      <c r="N366" s="382" t="str">
        <f t="shared" si="20"/>
        <v>NSK_1250_3500_63_600_1P</v>
      </c>
      <c r="P366">
        <v>1000</v>
      </c>
      <c r="Q366" s="388">
        <v>3.67</v>
      </c>
      <c r="R366" s="433">
        <v>3.75</v>
      </c>
    </row>
    <row r="367" spans="11:18" x14ac:dyDescent="0.25">
      <c r="K367" s="382" t="str">
        <f t="shared" si="18"/>
        <v>NSK_1250_3750_63_600_1P</v>
      </c>
      <c r="L367" s="384" t="str">
        <f>Sprachen!$E$266</f>
        <v>nessuno</v>
      </c>
      <c r="M367" s="432" t="str">
        <f t="shared" si="19"/>
        <v>http://www.biral.ch/fileadmin/Media/images/Planungstools/PumpStationSelector_DWG/NSK_1250_3750_63_600_1P</v>
      </c>
      <c r="N367" s="382" t="str">
        <f t="shared" si="20"/>
        <v>NSK_1250_3750_63_600_1P</v>
      </c>
      <c r="P367">
        <v>1000</v>
      </c>
      <c r="Q367" s="388">
        <v>3.68</v>
      </c>
      <c r="R367" s="433">
        <v>3.75</v>
      </c>
    </row>
    <row r="368" spans="11:18" x14ac:dyDescent="0.25">
      <c r="K368" s="382" t="str">
        <f t="shared" si="18"/>
        <v>NSK_1250_4000_63_600_1P</v>
      </c>
      <c r="L368" s="384" t="str">
        <f>Sprachen!$E$266</f>
        <v>nessuno</v>
      </c>
      <c r="M368" s="432" t="str">
        <f t="shared" si="19"/>
        <v>http://www.biral.ch/fileadmin/Media/images/Planungstools/PumpStationSelector_DWG/NSK_1250_4000_63_600_1P</v>
      </c>
      <c r="N368" s="382" t="str">
        <f t="shared" si="20"/>
        <v>NSK_1250_4000_63_600_1P</v>
      </c>
      <c r="P368">
        <v>1000</v>
      </c>
      <c r="Q368" s="388">
        <v>3.69</v>
      </c>
      <c r="R368" s="433">
        <v>3.75</v>
      </c>
    </row>
    <row r="369" spans="11:18" x14ac:dyDescent="0.25">
      <c r="K369" s="382" t="str">
        <f t="shared" si="18"/>
        <v>NSK_1250_4250_63_600_1P</v>
      </c>
      <c r="L369" s="384" t="str">
        <f>Sprachen!$E$266</f>
        <v>nessuno</v>
      </c>
      <c r="M369" s="432" t="str">
        <f t="shared" si="19"/>
        <v>http://www.biral.ch/fileadmin/Media/images/Planungstools/PumpStationSelector_DWG/NSK_1250_4250_63_600_1P</v>
      </c>
      <c r="N369" s="382" t="str">
        <f t="shared" si="20"/>
        <v>NSK_1250_4250_63_600_1P</v>
      </c>
      <c r="P369">
        <v>1000</v>
      </c>
      <c r="Q369" s="388">
        <v>3.7</v>
      </c>
      <c r="R369" s="433">
        <v>3.75</v>
      </c>
    </row>
    <row r="370" spans="11:18" x14ac:dyDescent="0.25">
      <c r="K370" s="382" t="str">
        <f t="shared" si="18"/>
        <v>NSK_1250_4500_63_600_1P</v>
      </c>
      <c r="L370" s="384" t="str">
        <f>Sprachen!$E$266</f>
        <v>nessuno</v>
      </c>
      <c r="M370" s="432" t="str">
        <f t="shared" si="19"/>
        <v>http://www.biral.ch/fileadmin/Media/images/Planungstools/PumpStationSelector_DWG/NSK_1250_4500_63_600_1P</v>
      </c>
      <c r="N370" s="382" t="str">
        <f t="shared" si="20"/>
        <v>NSK_1250_4500_63_600_1P</v>
      </c>
      <c r="P370">
        <v>1000</v>
      </c>
      <c r="Q370" s="388">
        <v>3.71</v>
      </c>
      <c r="R370" s="433">
        <v>3.75</v>
      </c>
    </row>
    <row r="371" spans="11:18" x14ac:dyDescent="0.25">
      <c r="K371" s="382" t="str">
        <f t="shared" si="18"/>
        <v>NSK_1250_4750_63_600_1P</v>
      </c>
      <c r="L371" s="384" t="str">
        <f>Sprachen!$E$266</f>
        <v>nessuno</v>
      </c>
      <c r="M371" s="432" t="str">
        <f t="shared" si="19"/>
        <v>http://www.biral.ch/fileadmin/Media/images/Planungstools/PumpStationSelector_DWG/NSK_1250_4750_63_600_1P</v>
      </c>
      <c r="N371" s="382" t="str">
        <f t="shared" si="20"/>
        <v>NSK_1250_4750_63_600_1P</v>
      </c>
      <c r="P371">
        <v>1000</v>
      </c>
      <c r="Q371" s="388">
        <v>3.72</v>
      </c>
      <c r="R371" s="433">
        <v>3.75</v>
      </c>
    </row>
    <row r="372" spans="11:18" x14ac:dyDescent="0.25">
      <c r="K372" s="382" t="str">
        <f t="shared" si="18"/>
        <v>NSK_1250_5000_63_600_1P</v>
      </c>
      <c r="L372" s="384" t="str">
        <f>Sprachen!$E$266</f>
        <v>nessuno</v>
      </c>
      <c r="M372" s="432" t="str">
        <f t="shared" si="19"/>
        <v>http://www.biral.ch/fileadmin/Media/images/Planungstools/PumpStationSelector_DWG/NSK_1250_5000_63_600_1P</v>
      </c>
      <c r="N372" s="382" t="str">
        <f t="shared" si="20"/>
        <v>NSK_1250_5000_63_600_1P</v>
      </c>
      <c r="P372">
        <v>1000</v>
      </c>
      <c r="Q372" s="388">
        <v>3.73</v>
      </c>
      <c r="R372" s="433">
        <v>3.75</v>
      </c>
    </row>
    <row r="373" spans="11:18" x14ac:dyDescent="0.25">
      <c r="K373" s="382" t="str">
        <f t="shared" si="18"/>
        <v>NSK_1250_5250_63_600_1P</v>
      </c>
      <c r="L373" s="384" t="str">
        <f>Sprachen!$E$266</f>
        <v>nessuno</v>
      </c>
      <c r="M373" s="432" t="str">
        <f t="shared" si="19"/>
        <v>http://www.biral.ch/fileadmin/Media/images/Planungstools/PumpStationSelector_DWG/NSK_1250_5250_63_600_1P</v>
      </c>
      <c r="N373" s="382" t="str">
        <f t="shared" si="20"/>
        <v>NSK_1250_5250_63_600_1P</v>
      </c>
      <c r="P373">
        <v>1000</v>
      </c>
      <c r="Q373" s="388">
        <v>3.74</v>
      </c>
      <c r="R373" s="433">
        <v>3.75</v>
      </c>
    </row>
    <row r="374" spans="11:18" x14ac:dyDescent="0.25">
      <c r="K374" s="382" t="str">
        <f t="shared" si="18"/>
        <v>NSK_1250_5500_63_600_1P</v>
      </c>
      <c r="L374" s="384" t="str">
        <f>Sprachen!$E$266</f>
        <v>nessuno</v>
      </c>
      <c r="M374" s="432" t="str">
        <f t="shared" si="19"/>
        <v>http://www.biral.ch/fileadmin/Media/images/Planungstools/PumpStationSelector_DWG/NSK_1250_5500_63_600_1P</v>
      </c>
      <c r="N374" s="382" t="str">
        <f t="shared" si="20"/>
        <v>NSK_1250_5500_63_600_1P</v>
      </c>
      <c r="P374">
        <v>1000</v>
      </c>
      <c r="Q374" s="388">
        <v>3.75</v>
      </c>
      <c r="R374" s="433">
        <v>3.75</v>
      </c>
    </row>
    <row r="375" spans="11:18" x14ac:dyDescent="0.25">
      <c r="K375" s="382" t="str">
        <f t="shared" si="18"/>
        <v>NSK_1250_5750_63_600_1P</v>
      </c>
      <c r="L375" s="384" t="str">
        <f>Sprachen!$E$266</f>
        <v>nessuno</v>
      </c>
      <c r="M375" s="432" t="str">
        <f t="shared" si="19"/>
        <v>http://www.biral.ch/fileadmin/Media/images/Planungstools/PumpStationSelector_DWG/NSK_1250_5750_63_600_1P</v>
      </c>
      <c r="N375" s="382" t="str">
        <f t="shared" si="20"/>
        <v>NSK_1250_5750_63_600_1P</v>
      </c>
      <c r="P375">
        <v>1000</v>
      </c>
      <c r="Q375" s="388">
        <v>3.76</v>
      </c>
      <c r="R375" s="433">
        <v>3.75</v>
      </c>
    </row>
    <row r="376" spans="11:18" x14ac:dyDescent="0.25">
      <c r="K376" s="382" t="str">
        <f t="shared" si="18"/>
        <v>NSK_1250_6000_63_600_1P</v>
      </c>
      <c r="L376" s="384" t="str">
        <f>Sprachen!$E$266</f>
        <v>nessuno</v>
      </c>
      <c r="M376" s="432" t="str">
        <f t="shared" si="19"/>
        <v>http://www.biral.ch/fileadmin/Media/images/Planungstools/PumpStationSelector_DWG/NSK_1250_6000_63_600_1P</v>
      </c>
      <c r="N376" s="382" t="str">
        <f t="shared" si="20"/>
        <v>NSK_1250_6000_63_600_1P</v>
      </c>
      <c r="P376">
        <v>1000</v>
      </c>
      <c r="Q376" s="388">
        <v>3.77</v>
      </c>
      <c r="R376" s="433">
        <v>3.75</v>
      </c>
    </row>
    <row r="377" spans="11:18" x14ac:dyDescent="0.25">
      <c r="K377" s="382" t="str">
        <f t="shared" ref="K377:K395" si="21">$B$157&amp;"_"&amp;C158&amp;$E$159&amp;"_600"&amp;$F$158</f>
        <v>NSK_1250_1500_75_600_1P</v>
      </c>
      <c r="L377" s="384" t="str">
        <f>Sprachen!$E$266</f>
        <v>nessuno</v>
      </c>
      <c r="M377" s="432" t="str">
        <f t="shared" si="19"/>
        <v>http://www.biral.ch/fileadmin/Media/images/Planungstools/PumpStationSelector_DWG/NSK_1250_1500_75_600_1P</v>
      </c>
      <c r="N377" s="382" t="str">
        <f t="shared" si="20"/>
        <v>NSK_1250_1500_75_600_1P</v>
      </c>
      <c r="P377">
        <v>1000</v>
      </c>
      <c r="Q377" s="388">
        <v>3.78</v>
      </c>
      <c r="R377" s="433">
        <v>3.75</v>
      </c>
    </row>
    <row r="378" spans="11:18" x14ac:dyDescent="0.25">
      <c r="K378" s="382" t="str">
        <f t="shared" si="21"/>
        <v>NSK_1250_1750_75_600_1P</v>
      </c>
      <c r="L378" s="384" t="str">
        <f>Sprachen!$E$266</f>
        <v>nessuno</v>
      </c>
      <c r="M378" s="432" t="str">
        <f t="shared" si="19"/>
        <v>http://www.biral.ch/fileadmin/Media/images/Planungstools/PumpStationSelector_DWG/NSK_1250_1750_75_600_1P</v>
      </c>
      <c r="N378" s="382" t="str">
        <f t="shared" si="20"/>
        <v>NSK_1250_1750_75_600_1P</v>
      </c>
      <c r="P378">
        <v>1000</v>
      </c>
      <c r="Q378" s="388">
        <v>3.79</v>
      </c>
      <c r="R378" s="433">
        <v>3.75</v>
      </c>
    </row>
    <row r="379" spans="11:18" x14ac:dyDescent="0.25">
      <c r="K379" s="382" t="str">
        <f t="shared" si="21"/>
        <v>NSK_1250_2000_75_600_1P</v>
      </c>
      <c r="L379" s="384" t="str">
        <f>Sprachen!$E$266</f>
        <v>nessuno</v>
      </c>
      <c r="M379" s="432" t="str">
        <f t="shared" ref="M379:M442" si="22">$M$57&amp;N379</f>
        <v>http://www.biral.ch/fileadmin/Media/images/Planungstools/PumpStationSelector_DWG/NSK_1250_2000_75_600_1P</v>
      </c>
      <c r="N379" s="382" t="str">
        <f t="shared" si="20"/>
        <v>NSK_1250_2000_75_600_1P</v>
      </c>
      <c r="P379">
        <v>1000</v>
      </c>
      <c r="Q379" s="388">
        <v>3.8</v>
      </c>
      <c r="R379" s="433">
        <v>3.75</v>
      </c>
    </row>
    <row r="380" spans="11:18" x14ac:dyDescent="0.25">
      <c r="K380" s="382" t="str">
        <f t="shared" si="21"/>
        <v>NSK_1250_2250_75_600_1P</v>
      </c>
      <c r="L380" s="384" t="str">
        <f>Sprachen!$E$266</f>
        <v>nessuno</v>
      </c>
      <c r="M380" s="432" t="str">
        <f t="shared" si="22"/>
        <v>http://www.biral.ch/fileadmin/Media/images/Planungstools/PumpStationSelector_DWG/NSK_1250_2250_75_600_1P</v>
      </c>
      <c r="N380" s="382" t="str">
        <f t="shared" si="20"/>
        <v>NSK_1250_2250_75_600_1P</v>
      </c>
      <c r="P380">
        <v>1000</v>
      </c>
      <c r="Q380" s="388">
        <v>3.81</v>
      </c>
      <c r="R380" s="433">
        <v>3.75</v>
      </c>
    </row>
    <row r="381" spans="11:18" x14ac:dyDescent="0.25">
      <c r="K381" s="382" t="str">
        <f t="shared" si="21"/>
        <v>NSK_1250_2500_75_600_1P</v>
      </c>
      <c r="L381" s="384" t="str">
        <f>Sprachen!$E$266</f>
        <v>nessuno</v>
      </c>
      <c r="M381" s="432" t="str">
        <f t="shared" si="22"/>
        <v>http://www.biral.ch/fileadmin/Media/images/Planungstools/PumpStationSelector_DWG/NSK_1250_2500_75_600_1P</v>
      </c>
      <c r="N381" s="382" t="str">
        <f t="shared" si="20"/>
        <v>NSK_1250_2500_75_600_1P</v>
      </c>
      <c r="P381">
        <v>1000</v>
      </c>
      <c r="Q381" s="388">
        <v>3.82</v>
      </c>
      <c r="R381" s="433">
        <v>3.75</v>
      </c>
    </row>
    <row r="382" spans="11:18" x14ac:dyDescent="0.25">
      <c r="K382" s="382" t="str">
        <f t="shared" si="21"/>
        <v>NSK_1250_2750_75_600_1P</v>
      </c>
      <c r="L382" s="384" t="str">
        <f>Sprachen!$E$266</f>
        <v>nessuno</v>
      </c>
      <c r="M382" s="432" t="str">
        <f t="shared" si="22"/>
        <v>http://www.biral.ch/fileadmin/Media/images/Planungstools/PumpStationSelector_DWG/NSK_1250_2750_75_600_1P</v>
      </c>
      <c r="N382" s="382" t="str">
        <f t="shared" si="20"/>
        <v>NSK_1250_2750_75_600_1P</v>
      </c>
      <c r="P382">
        <v>1000</v>
      </c>
      <c r="Q382" s="388">
        <v>3.83</v>
      </c>
      <c r="R382" s="433">
        <v>3.75</v>
      </c>
    </row>
    <row r="383" spans="11:18" x14ac:dyDescent="0.25">
      <c r="K383" s="382" t="str">
        <f t="shared" si="21"/>
        <v>NSK_1250_3000_75_600_1P</v>
      </c>
      <c r="L383" s="384" t="str">
        <f>Sprachen!$E$266</f>
        <v>nessuno</v>
      </c>
      <c r="M383" s="432" t="str">
        <f t="shared" si="22"/>
        <v>http://www.biral.ch/fileadmin/Media/images/Planungstools/PumpStationSelector_DWG/NSK_1250_3000_75_600_1P</v>
      </c>
      <c r="N383" s="382" t="str">
        <f t="shared" si="20"/>
        <v>NSK_1250_3000_75_600_1P</v>
      </c>
      <c r="P383">
        <v>1000</v>
      </c>
      <c r="Q383" s="388">
        <v>3.84</v>
      </c>
      <c r="R383" s="433">
        <v>3.75</v>
      </c>
    </row>
    <row r="384" spans="11:18" x14ac:dyDescent="0.25">
      <c r="K384" s="382" t="str">
        <f t="shared" si="21"/>
        <v>NSK_1250_3250_75_600_1P</v>
      </c>
      <c r="L384" s="384" t="str">
        <f>Sprachen!$E$266</f>
        <v>nessuno</v>
      </c>
      <c r="M384" s="432" t="str">
        <f t="shared" si="22"/>
        <v>http://www.biral.ch/fileadmin/Media/images/Planungstools/PumpStationSelector_DWG/NSK_1250_3250_75_600_1P</v>
      </c>
      <c r="N384" s="382" t="str">
        <f t="shared" si="20"/>
        <v>NSK_1250_3250_75_600_1P</v>
      </c>
      <c r="P384">
        <v>1000</v>
      </c>
      <c r="Q384" s="388">
        <v>3.85</v>
      </c>
      <c r="R384" s="433">
        <v>3.75</v>
      </c>
    </row>
    <row r="385" spans="11:18" x14ac:dyDescent="0.25">
      <c r="K385" s="382" t="str">
        <f t="shared" si="21"/>
        <v>NSK_1250_3500_75_600_1P</v>
      </c>
      <c r="L385" s="384" t="str">
        <f>Sprachen!$E$266</f>
        <v>nessuno</v>
      </c>
      <c r="M385" s="432" t="str">
        <f t="shared" si="22"/>
        <v>http://www.biral.ch/fileadmin/Media/images/Planungstools/PumpStationSelector_DWG/NSK_1250_3500_75_600_1P</v>
      </c>
      <c r="N385" s="382" t="str">
        <f t="shared" si="20"/>
        <v>NSK_1250_3500_75_600_1P</v>
      </c>
      <c r="P385">
        <v>1000</v>
      </c>
      <c r="Q385" s="388">
        <v>3.86</v>
      </c>
      <c r="R385" s="433">
        <v>3.75</v>
      </c>
    </row>
    <row r="386" spans="11:18" x14ac:dyDescent="0.25">
      <c r="K386" s="382" t="str">
        <f t="shared" si="21"/>
        <v>NSK_1250_3750_75_600_1P</v>
      </c>
      <c r="L386" s="384" t="str">
        <f>Sprachen!$E$266</f>
        <v>nessuno</v>
      </c>
      <c r="M386" s="432" t="str">
        <f t="shared" si="22"/>
        <v>http://www.biral.ch/fileadmin/Media/images/Planungstools/PumpStationSelector_DWG/NSK_1250_3750_75_600_1P</v>
      </c>
      <c r="N386" s="382" t="str">
        <f t="shared" si="20"/>
        <v>NSK_1250_3750_75_600_1P</v>
      </c>
      <c r="P386">
        <v>1000</v>
      </c>
      <c r="Q386" s="388">
        <v>3.87</v>
      </c>
      <c r="R386" s="433">
        <v>3.75</v>
      </c>
    </row>
    <row r="387" spans="11:18" x14ac:dyDescent="0.25">
      <c r="K387" s="382" t="str">
        <f t="shared" si="21"/>
        <v>NSK_1250_4000_75_600_1P</v>
      </c>
      <c r="L387" s="384" t="str">
        <f>Sprachen!$E$266</f>
        <v>nessuno</v>
      </c>
      <c r="M387" s="432" t="str">
        <f t="shared" si="22"/>
        <v>http://www.biral.ch/fileadmin/Media/images/Planungstools/PumpStationSelector_DWG/NSK_1250_4000_75_600_1P</v>
      </c>
      <c r="N387" s="382" t="str">
        <f t="shared" si="20"/>
        <v>NSK_1250_4000_75_600_1P</v>
      </c>
      <c r="P387">
        <v>1000</v>
      </c>
      <c r="Q387" s="388">
        <v>3.88</v>
      </c>
      <c r="R387" s="433">
        <v>3.75</v>
      </c>
    </row>
    <row r="388" spans="11:18" x14ac:dyDescent="0.25">
      <c r="K388" s="382" t="str">
        <f t="shared" si="21"/>
        <v>NSK_1250_4250_75_600_1P</v>
      </c>
      <c r="L388" s="384" t="str">
        <f>Sprachen!$E$266</f>
        <v>nessuno</v>
      </c>
      <c r="M388" s="432" t="str">
        <f t="shared" si="22"/>
        <v>http://www.biral.ch/fileadmin/Media/images/Planungstools/PumpStationSelector_DWG/NSK_1250_4250_75_600_1P</v>
      </c>
      <c r="N388" s="382" t="str">
        <f t="shared" si="20"/>
        <v>NSK_1250_4250_75_600_1P</v>
      </c>
      <c r="P388">
        <v>1000</v>
      </c>
      <c r="Q388" s="388">
        <v>3.89</v>
      </c>
      <c r="R388" s="445">
        <v>4</v>
      </c>
    </row>
    <row r="389" spans="11:18" x14ac:dyDescent="0.25">
      <c r="K389" s="382" t="str">
        <f t="shared" si="21"/>
        <v>NSK_1250_4500_75_600_1P</v>
      </c>
      <c r="L389" s="384" t="str">
        <f>Sprachen!$E$266</f>
        <v>nessuno</v>
      </c>
      <c r="M389" s="432" t="str">
        <f t="shared" si="22"/>
        <v>http://www.biral.ch/fileadmin/Media/images/Planungstools/PumpStationSelector_DWG/NSK_1250_4500_75_600_1P</v>
      </c>
      <c r="N389" s="382" t="str">
        <f t="shared" si="20"/>
        <v>NSK_1250_4500_75_600_1P</v>
      </c>
      <c r="P389">
        <v>1000</v>
      </c>
      <c r="Q389" s="388">
        <v>3.9</v>
      </c>
      <c r="R389" s="445">
        <v>4</v>
      </c>
    </row>
    <row r="390" spans="11:18" x14ac:dyDescent="0.25">
      <c r="K390" s="382" t="str">
        <f t="shared" si="21"/>
        <v>NSK_1250_4750_75_600_1P</v>
      </c>
      <c r="L390" s="384" t="str">
        <f>Sprachen!$E$266</f>
        <v>nessuno</v>
      </c>
      <c r="M390" s="432" t="str">
        <f t="shared" si="22"/>
        <v>http://www.biral.ch/fileadmin/Media/images/Planungstools/PumpStationSelector_DWG/NSK_1250_4750_75_600_1P</v>
      </c>
      <c r="N390" s="382" t="str">
        <f t="shared" si="20"/>
        <v>NSK_1250_4750_75_600_1P</v>
      </c>
      <c r="P390">
        <v>1000</v>
      </c>
      <c r="Q390" s="388">
        <v>3.91</v>
      </c>
      <c r="R390" s="445">
        <v>4</v>
      </c>
    </row>
    <row r="391" spans="11:18" x14ac:dyDescent="0.25">
      <c r="K391" s="382" t="str">
        <f t="shared" si="21"/>
        <v>NSK_1250_5000_75_600_1P</v>
      </c>
      <c r="L391" s="384" t="str">
        <f>Sprachen!$E$266</f>
        <v>nessuno</v>
      </c>
      <c r="M391" s="432" t="str">
        <f t="shared" si="22"/>
        <v>http://www.biral.ch/fileadmin/Media/images/Planungstools/PumpStationSelector_DWG/NSK_1250_5000_75_600_1P</v>
      </c>
      <c r="N391" s="382" t="str">
        <f t="shared" si="20"/>
        <v>NSK_1250_5000_75_600_1P</v>
      </c>
      <c r="P391">
        <v>1000</v>
      </c>
      <c r="Q391" s="388">
        <v>3.92</v>
      </c>
      <c r="R391" s="445">
        <v>4</v>
      </c>
    </row>
    <row r="392" spans="11:18" x14ac:dyDescent="0.25">
      <c r="K392" s="382" t="str">
        <f t="shared" si="21"/>
        <v>NSK_1250_5250_75_600_1P</v>
      </c>
      <c r="L392" s="384" t="str">
        <f>Sprachen!$E$266</f>
        <v>nessuno</v>
      </c>
      <c r="M392" s="432" t="str">
        <f t="shared" si="22"/>
        <v>http://www.biral.ch/fileadmin/Media/images/Planungstools/PumpStationSelector_DWG/NSK_1250_5250_75_600_1P</v>
      </c>
      <c r="N392" s="382" t="str">
        <f t="shared" si="20"/>
        <v>NSK_1250_5250_75_600_1P</v>
      </c>
      <c r="P392">
        <v>1000</v>
      </c>
      <c r="Q392" s="388">
        <v>3.93</v>
      </c>
      <c r="R392" s="445">
        <v>4</v>
      </c>
    </row>
    <row r="393" spans="11:18" x14ac:dyDescent="0.25">
      <c r="K393" s="382" t="str">
        <f t="shared" si="21"/>
        <v>NSK_1250_5500_75_600_1P</v>
      </c>
      <c r="L393" s="384" t="str">
        <f>Sprachen!$E$266</f>
        <v>nessuno</v>
      </c>
      <c r="M393" s="432" t="str">
        <f t="shared" si="22"/>
        <v>http://www.biral.ch/fileadmin/Media/images/Planungstools/PumpStationSelector_DWG/NSK_1250_5500_75_600_1P</v>
      </c>
      <c r="N393" s="382" t="str">
        <f t="shared" si="20"/>
        <v>NSK_1250_5500_75_600_1P</v>
      </c>
      <c r="P393">
        <v>1000</v>
      </c>
      <c r="Q393" s="388">
        <v>3.94</v>
      </c>
      <c r="R393" s="445">
        <v>4</v>
      </c>
    </row>
    <row r="394" spans="11:18" x14ac:dyDescent="0.25">
      <c r="K394" s="382" t="str">
        <f t="shared" si="21"/>
        <v>NSK_1250_5750_75_600_1P</v>
      </c>
      <c r="L394" s="384" t="str">
        <f>Sprachen!$E$266</f>
        <v>nessuno</v>
      </c>
      <c r="M394" s="432" t="str">
        <f t="shared" si="22"/>
        <v>http://www.biral.ch/fileadmin/Media/images/Planungstools/PumpStationSelector_DWG/NSK_1250_5750_75_600_1P</v>
      </c>
      <c r="N394" s="382" t="str">
        <f t="shared" si="20"/>
        <v>NSK_1250_5750_75_600_1P</v>
      </c>
      <c r="P394">
        <v>1000</v>
      </c>
      <c r="Q394" s="388">
        <v>3.95</v>
      </c>
      <c r="R394" s="445">
        <v>4</v>
      </c>
    </row>
    <row r="395" spans="11:18" x14ac:dyDescent="0.25">
      <c r="K395" s="382" t="str">
        <f t="shared" si="21"/>
        <v>NSK_1250_6000_75_600_1P</v>
      </c>
      <c r="L395" s="384" t="str">
        <f>Sprachen!$E$266</f>
        <v>nessuno</v>
      </c>
      <c r="M395" s="432" t="str">
        <f t="shared" si="22"/>
        <v>http://www.biral.ch/fileadmin/Media/images/Planungstools/PumpStationSelector_DWG/NSK_1250_6000_75_600_1P</v>
      </c>
      <c r="N395" s="382" t="str">
        <f t="shared" si="20"/>
        <v>NSK_1250_6000_75_600_1P</v>
      </c>
      <c r="P395">
        <v>1000</v>
      </c>
      <c r="Q395" s="388">
        <v>3.96</v>
      </c>
      <c r="R395" s="445">
        <v>4</v>
      </c>
    </row>
    <row r="396" spans="11:18" x14ac:dyDescent="0.25">
      <c r="K396" s="382" t="str">
        <f t="shared" ref="K396:K414" si="23">$B$157&amp;"_"&amp;C158&amp;$E$160&amp;"_600"&amp;$F$158</f>
        <v>NSK_1250_1500_90_600_1P</v>
      </c>
      <c r="L396" s="384" t="str">
        <f>Sprachen!$E$266</f>
        <v>nessuno</v>
      </c>
      <c r="M396" s="432" t="str">
        <f t="shared" si="22"/>
        <v>http://www.biral.ch/fileadmin/Media/images/Planungstools/PumpStationSelector_DWG/NSK_1250_1500_90_600_1P</v>
      </c>
      <c r="N396" s="382" t="str">
        <f t="shared" si="20"/>
        <v>NSK_1250_1500_90_600_1P</v>
      </c>
      <c r="P396">
        <v>1000</v>
      </c>
      <c r="Q396" s="388">
        <v>3.97</v>
      </c>
      <c r="R396" s="445">
        <v>4</v>
      </c>
    </row>
    <row r="397" spans="11:18" x14ac:dyDescent="0.25">
      <c r="K397" s="382" t="str">
        <f t="shared" si="23"/>
        <v>NSK_1250_1750_90_600_1P</v>
      </c>
      <c r="L397" s="384" t="str">
        <f>Sprachen!$E$266</f>
        <v>nessuno</v>
      </c>
      <c r="M397" s="432" t="str">
        <f t="shared" si="22"/>
        <v>http://www.biral.ch/fileadmin/Media/images/Planungstools/PumpStationSelector_DWG/NSK_1250_1750_90_600_1P</v>
      </c>
      <c r="N397" s="382" t="str">
        <f t="shared" si="20"/>
        <v>NSK_1250_1750_90_600_1P</v>
      </c>
      <c r="P397">
        <v>1000</v>
      </c>
      <c r="Q397" s="388">
        <v>3.98</v>
      </c>
      <c r="R397" s="445">
        <v>4</v>
      </c>
    </row>
    <row r="398" spans="11:18" x14ac:dyDescent="0.25">
      <c r="K398" s="382" t="str">
        <f t="shared" si="23"/>
        <v>NSK_1250_2000_90_600_1P</v>
      </c>
      <c r="L398" s="384" t="str">
        <f>Sprachen!$E$266</f>
        <v>nessuno</v>
      </c>
      <c r="M398" s="432" t="str">
        <f t="shared" si="22"/>
        <v>http://www.biral.ch/fileadmin/Media/images/Planungstools/PumpStationSelector_DWG/NSK_1250_2000_90_600_1P</v>
      </c>
      <c r="N398" s="382" t="str">
        <f t="shared" si="20"/>
        <v>NSK_1250_2000_90_600_1P</v>
      </c>
      <c r="P398">
        <v>1000</v>
      </c>
      <c r="Q398" s="388">
        <v>3.99</v>
      </c>
      <c r="R398" s="445">
        <v>4</v>
      </c>
    </row>
    <row r="399" spans="11:18" x14ac:dyDescent="0.25">
      <c r="K399" s="382" t="str">
        <f t="shared" si="23"/>
        <v>NSK_1250_2250_90_600_1P</v>
      </c>
      <c r="L399" s="384" t="str">
        <f>Sprachen!$E$266</f>
        <v>nessuno</v>
      </c>
      <c r="M399" s="432" t="str">
        <f t="shared" si="22"/>
        <v>http://www.biral.ch/fileadmin/Media/images/Planungstools/PumpStationSelector_DWG/NSK_1250_2250_90_600_1P</v>
      </c>
      <c r="N399" s="382" t="str">
        <f t="shared" si="20"/>
        <v>NSK_1250_2250_90_600_1P</v>
      </c>
      <c r="P399">
        <v>1000</v>
      </c>
      <c r="Q399" s="388">
        <v>4</v>
      </c>
      <c r="R399" s="445">
        <v>4</v>
      </c>
    </row>
    <row r="400" spans="11:18" x14ac:dyDescent="0.25">
      <c r="K400" s="382" t="str">
        <f t="shared" si="23"/>
        <v>NSK_1250_2500_90_600_1P</v>
      </c>
      <c r="L400" s="384" t="str">
        <f>Sprachen!$E$266</f>
        <v>nessuno</v>
      </c>
      <c r="M400" s="432" t="str">
        <f t="shared" si="22"/>
        <v>http://www.biral.ch/fileadmin/Media/images/Planungstools/PumpStationSelector_DWG/NSK_1250_2500_90_600_1P</v>
      </c>
      <c r="N400" s="382" t="str">
        <f t="shared" si="20"/>
        <v>NSK_1250_2500_90_600_1P</v>
      </c>
      <c r="P400">
        <v>1000</v>
      </c>
      <c r="Q400" s="388">
        <v>4.01</v>
      </c>
      <c r="R400" s="445">
        <v>4</v>
      </c>
    </row>
    <row r="401" spans="11:18" x14ac:dyDescent="0.25">
      <c r="K401" s="382" t="str">
        <f t="shared" si="23"/>
        <v>NSK_1250_2750_90_600_1P</v>
      </c>
      <c r="L401" s="384" t="str">
        <f>Sprachen!$E$266</f>
        <v>nessuno</v>
      </c>
      <c r="M401" s="432" t="str">
        <f t="shared" si="22"/>
        <v>http://www.biral.ch/fileadmin/Media/images/Planungstools/PumpStationSelector_DWG/NSK_1250_2750_90_600_1P</v>
      </c>
      <c r="N401" s="382" t="str">
        <f t="shared" si="20"/>
        <v>NSK_1250_2750_90_600_1P</v>
      </c>
      <c r="P401">
        <v>1000</v>
      </c>
      <c r="Q401" s="388">
        <v>4.0199999999999996</v>
      </c>
      <c r="R401" s="445">
        <v>4</v>
      </c>
    </row>
    <row r="402" spans="11:18" x14ac:dyDescent="0.25">
      <c r="K402" s="382" t="str">
        <f t="shared" si="23"/>
        <v>NSK_1250_3000_90_600_1P</v>
      </c>
      <c r="L402" s="384" t="str">
        <f>Sprachen!$E$266</f>
        <v>nessuno</v>
      </c>
      <c r="M402" s="432" t="str">
        <f t="shared" si="22"/>
        <v>http://www.biral.ch/fileadmin/Media/images/Planungstools/PumpStationSelector_DWG/NSK_1250_3000_90_600_1P</v>
      </c>
      <c r="N402" s="382" t="str">
        <f t="shared" si="20"/>
        <v>NSK_1250_3000_90_600_1P</v>
      </c>
      <c r="P402">
        <v>1000</v>
      </c>
      <c r="Q402" s="388">
        <v>4.03</v>
      </c>
      <c r="R402" s="445">
        <v>4</v>
      </c>
    </row>
    <row r="403" spans="11:18" x14ac:dyDescent="0.25">
      <c r="K403" s="382" t="str">
        <f t="shared" si="23"/>
        <v>NSK_1250_3250_90_600_1P</v>
      </c>
      <c r="L403" s="384" t="str">
        <f>Sprachen!$E$266</f>
        <v>nessuno</v>
      </c>
      <c r="M403" s="432" t="str">
        <f t="shared" si="22"/>
        <v>http://www.biral.ch/fileadmin/Media/images/Planungstools/PumpStationSelector_DWG/NSK_1250_3250_90_600_1P</v>
      </c>
      <c r="N403" s="382" t="str">
        <f t="shared" si="20"/>
        <v>NSK_1250_3250_90_600_1P</v>
      </c>
      <c r="P403">
        <v>1000</v>
      </c>
      <c r="Q403" s="388">
        <v>4.04</v>
      </c>
      <c r="R403" s="445">
        <v>4</v>
      </c>
    </row>
    <row r="404" spans="11:18" x14ac:dyDescent="0.25">
      <c r="K404" s="382" t="str">
        <f t="shared" si="23"/>
        <v>NSK_1250_3500_90_600_1P</v>
      </c>
      <c r="L404" s="384" t="str">
        <f>Sprachen!$E$266</f>
        <v>nessuno</v>
      </c>
      <c r="M404" s="432" t="str">
        <f t="shared" si="22"/>
        <v>http://www.biral.ch/fileadmin/Media/images/Planungstools/PumpStationSelector_DWG/NSK_1250_3500_90_600_1P</v>
      </c>
      <c r="N404" s="382" t="str">
        <f t="shared" si="20"/>
        <v>NSK_1250_3500_90_600_1P</v>
      </c>
      <c r="P404">
        <v>1000</v>
      </c>
      <c r="Q404" s="388">
        <v>4.05</v>
      </c>
      <c r="R404" s="445">
        <v>4</v>
      </c>
    </row>
    <row r="405" spans="11:18" x14ac:dyDescent="0.25">
      <c r="K405" s="382" t="str">
        <f t="shared" si="23"/>
        <v>NSK_1250_3750_90_600_1P</v>
      </c>
      <c r="L405" s="384" t="str">
        <f>Sprachen!$E$266</f>
        <v>nessuno</v>
      </c>
      <c r="M405" s="432" t="str">
        <f t="shared" si="22"/>
        <v>http://www.biral.ch/fileadmin/Media/images/Planungstools/PumpStationSelector_DWG/NSK_1250_3750_90_600_1P</v>
      </c>
      <c r="N405" s="382" t="str">
        <f t="shared" si="20"/>
        <v>NSK_1250_3750_90_600_1P</v>
      </c>
      <c r="P405">
        <v>1000</v>
      </c>
      <c r="Q405" s="388">
        <v>4.0599999999999996</v>
      </c>
      <c r="R405" s="445">
        <v>4</v>
      </c>
    </row>
    <row r="406" spans="11:18" x14ac:dyDescent="0.25">
      <c r="K406" s="382" t="str">
        <f t="shared" si="23"/>
        <v>NSK_1250_4000_90_600_1P</v>
      </c>
      <c r="L406" s="384" t="str">
        <f>Sprachen!$E$266</f>
        <v>nessuno</v>
      </c>
      <c r="M406" s="432" t="str">
        <f t="shared" si="22"/>
        <v>http://www.biral.ch/fileadmin/Media/images/Planungstools/PumpStationSelector_DWG/NSK_1250_4000_90_600_1P</v>
      </c>
      <c r="N406" s="382" t="str">
        <f t="shared" si="20"/>
        <v>NSK_1250_4000_90_600_1P</v>
      </c>
      <c r="P406">
        <v>1000</v>
      </c>
      <c r="Q406" s="388">
        <v>4.07</v>
      </c>
      <c r="R406" s="445">
        <v>4</v>
      </c>
    </row>
    <row r="407" spans="11:18" x14ac:dyDescent="0.25">
      <c r="K407" s="382" t="str">
        <f t="shared" si="23"/>
        <v>NSK_1250_4250_90_600_1P</v>
      </c>
      <c r="L407" s="384" t="str">
        <f>Sprachen!$E$266</f>
        <v>nessuno</v>
      </c>
      <c r="M407" s="432" t="str">
        <f t="shared" si="22"/>
        <v>http://www.biral.ch/fileadmin/Media/images/Planungstools/PumpStationSelector_DWG/NSK_1250_4250_90_600_1P</v>
      </c>
      <c r="N407" s="382" t="str">
        <f t="shared" si="20"/>
        <v>NSK_1250_4250_90_600_1P</v>
      </c>
      <c r="P407">
        <v>1000</v>
      </c>
      <c r="Q407" s="388">
        <v>4.08</v>
      </c>
      <c r="R407" s="445">
        <v>4</v>
      </c>
    </row>
    <row r="408" spans="11:18" x14ac:dyDescent="0.25">
      <c r="K408" s="382" t="str">
        <f t="shared" si="23"/>
        <v>NSK_1250_4500_90_600_1P</v>
      </c>
      <c r="L408" s="384" t="str">
        <f>Sprachen!$E$266</f>
        <v>nessuno</v>
      </c>
      <c r="M408" s="432" t="str">
        <f t="shared" si="22"/>
        <v>http://www.biral.ch/fileadmin/Media/images/Planungstools/PumpStationSelector_DWG/NSK_1250_4500_90_600_1P</v>
      </c>
      <c r="N408" s="382" t="str">
        <f t="shared" si="20"/>
        <v>NSK_1250_4500_90_600_1P</v>
      </c>
      <c r="P408">
        <v>1000</v>
      </c>
      <c r="Q408" s="388">
        <v>4.09</v>
      </c>
      <c r="R408" s="445">
        <v>4</v>
      </c>
    </row>
    <row r="409" spans="11:18" x14ac:dyDescent="0.25">
      <c r="K409" s="382" t="str">
        <f t="shared" si="23"/>
        <v>NSK_1250_4750_90_600_1P</v>
      </c>
      <c r="L409" s="384" t="str">
        <f>Sprachen!$E$266</f>
        <v>nessuno</v>
      </c>
      <c r="M409" s="432" t="str">
        <f t="shared" si="22"/>
        <v>http://www.biral.ch/fileadmin/Media/images/Planungstools/PumpStationSelector_DWG/NSK_1250_4750_90_600_1P</v>
      </c>
      <c r="N409" s="382" t="str">
        <f t="shared" si="20"/>
        <v>NSK_1250_4750_90_600_1P</v>
      </c>
      <c r="P409">
        <v>1000</v>
      </c>
      <c r="Q409" s="388">
        <v>4.0999999999999996</v>
      </c>
      <c r="R409" s="445">
        <v>4</v>
      </c>
    </row>
    <row r="410" spans="11:18" x14ac:dyDescent="0.25">
      <c r="K410" s="382" t="str">
        <f t="shared" si="23"/>
        <v>NSK_1250_5000_90_600_1P</v>
      </c>
      <c r="L410" s="384" t="str">
        <f>Sprachen!$E$266</f>
        <v>nessuno</v>
      </c>
      <c r="M410" s="432" t="str">
        <f t="shared" si="22"/>
        <v>http://www.biral.ch/fileadmin/Media/images/Planungstools/PumpStationSelector_DWG/NSK_1250_5000_90_600_1P</v>
      </c>
      <c r="N410" s="382" t="str">
        <f t="shared" si="20"/>
        <v>NSK_1250_5000_90_600_1P</v>
      </c>
      <c r="P410">
        <v>1000</v>
      </c>
      <c r="Q410" s="388">
        <v>4.1100000000000003</v>
      </c>
      <c r="R410" s="445">
        <v>4</v>
      </c>
    </row>
    <row r="411" spans="11:18" x14ac:dyDescent="0.25">
      <c r="K411" s="382" t="str">
        <f t="shared" si="23"/>
        <v>NSK_1250_5250_90_600_1P</v>
      </c>
      <c r="L411" s="384" t="str">
        <f>Sprachen!$E$266</f>
        <v>nessuno</v>
      </c>
      <c r="M411" s="432" t="str">
        <f t="shared" si="22"/>
        <v>http://www.biral.ch/fileadmin/Media/images/Planungstools/PumpStationSelector_DWG/NSK_1250_5250_90_600_1P</v>
      </c>
      <c r="N411" s="382" t="str">
        <f t="shared" si="20"/>
        <v>NSK_1250_5250_90_600_1P</v>
      </c>
      <c r="P411">
        <v>1000</v>
      </c>
      <c r="Q411" s="388">
        <v>4.12</v>
      </c>
      <c r="R411" s="445">
        <v>4</v>
      </c>
    </row>
    <row r="412" spans="11:18" x14ac:dyDescent="0.25">
      <c r="K412" s="382" t="str">
        <f t="shared" si="23"/>
        <v>NSK_1250_5500_90_600_1P</v>
      </c>
      <c r="L412" s="384" t="str">
        <f>Sprachen!$E$266</f>
        <v>nessuno</v>
      </c>
      <c r="M412" s="432" t="str">
        <f t="shared" si="22"/>
        <v>http://www.biral.ch/fileadmin/Media/images/Planungstools/PumpStationSelector_DWG/NSK_1250_5500_90_600_1P</v>
      </c>
      <c r="N412" s="382" t="str">
        <f t="shared" si="20"/>
        <v>NSK_1250_5500_90_600_1P</v>
      </c>
      <c r="P412">
        <v>1000</v>
      </c>
      <c r="Q412" s="388">
        <v>4.13</v>
      </c>
      <c r="R412" s="446">
        <v>4.25</v>
      </c>
    </row>
    <row r="413" spans="11:18" x14ac:dyDescent="0.25">
      <c r="K413" s="382" t="str">
        <f t="shared" si="23"/>
        <v>NSK_1250_5750_90_600_1P</v>
      </c>
      <c r="L413" s="384" t="str">
        <f>Sprachen!$E$266</f>
        <v>nessuno</v>
      </c>
      <c r="M413" s="432" t="str">
        <f t="shared" si="22"/>
        <v>http://www.biral.ch/fileadmin/Media/images/Planungstools/PumpStationSelector_DWG/NSK_1250_5750_90_600_1P</v>
      </c>
      <c r="N413" s="382" t="str">
        <f t="shared" si="20"/>
        <v>NSK_1250_5750_90_600_1P</v>
      </c>
      <c r="P413">
        <v>1000</v>
      </c>
      <c r="Q413" s="388">
        <v>4.1399999999999997</v>
      </c>
      <c r="R413" s="446">
        <v>4.25</v>
      </c>
    </row>
    <row r="414" spans="11:18" x14ac:dyDescent="0.25">
      <c r="K414" s="382" t="str">
        <f t="shared" si="23"/>
        <v>NSK_1250_6000_90_600_1P</v>
      </c>
      <c r="L414" s="384" t="str">
        <f>Sprachen!$E$266</f>
        <v>nessuno</v>
      </c>
      <c r="M414" s="432" t="str">
        <f t="shared" si="22"/>
        <v>http://www.biral.ch/fileadmin/Media/images/Planungstools/PumpStationSelector_DWG/NSK_1250_6000_90_600_1P</v>
      </c>
      <c r="N414" s="382" t="str">
        <f t="shared" si="20"/>
        <v>NSK_1250_6000_90_600_1P</v>
      </c>
      <c r="P414">
        <v>1000</v>
      </c>
      <c r="Q414" s="388">
        <v>4.1500000000000004</v>
      </c>
      <c r="R414" s="446">
        <v>4.25</v>
      </c>
    </row>
    <row r="415" spans="11:18" x14ac:dyDescent="0.25">
      <c r="K415" s="382" t="str">
        <f t="shared" ref="K415:K432" si="24">$C$157&amp;"_"&amp;B158&amp;$E$158&amp;"_600"&amp;$F$158</f>
        <v>NSZ_1250_1600_63_600_1P</v>
      </c>
      <c r="L415" s="384" t="str">
        <f>Sprachen!$E$266</f>
        <v>nessuno</v>
      </c>
      <c r="M415" s="432" t="str">
        <f t="shared" si="22"/>
        <v>http://www.biral.ch/fileadmin/Media/images/Planungstools/PumpStationSelector_DWG/NSZ_1250_1600_63_600_1P</v>
      </c>
      <c r="N415" s="382" t="str">
        <f t="shared" si="20"/>
        <v>NSZ_1250_1600_63_600_1P</v>
      </c>
      <c r="P415">
        <v>1000</v>
      </c>
      <c r="Q415" s="388">
        <v>4.16</v>
      </c>
      <c r="R415" s="446">
        <v>4.25</v>
      </c>
    </row>
    <row r="416" spans="11:18" x14ac:dyDescent="0.25">
      <c r="K416" s="382" t="str">
        <f t="shared" si="24"/>
        <v>NSZ_1250_1850_63_600_1P</v>
      </c>
      <c r="L416" s="384" t="str">
        <f>Sprachen!$E$266</f>
        <v>nessuno</v>
      </c>
      <c r="M416" s="432" t="str">
        <f t="shared" si="22"/>
        <v>http://www.biral.ch/fileadmin/Media/images/Planungstools/PumpStationSelector_DWG/NSZ_1250_1850_63_600_1P</v>
      </c>
      <c r="N416" s="382" t="str">
        <f t="shared" si="20"/>
        <v>NSZ_1250_1850_63_600_1P</v>
      </c>
      <c r="P416">
        <v>1000</v>
      </c>
      <c r="Q416" s="388">
        <v>4.17</v>
      </c>
      <c r="R416" s="446">
        <v>4.25</v>
      </c>
    </row>
    <row r="417" spans="11:18" x14ac:dyDescent="0.25">
      <c r="K417" s="382" t="str">
        <f t="shared" si="24"/>
        <v>NSZ_1250_2100_63_600_1P</v>
      </c>
      <c r="L417" s="384" t="str">
        <f>Sprachen!$E$266</f>
        <v>nessuno</v>
      </c>
      <c r="M417" s="432" t="str">
        <f t="shared" si="22"/>
        <v>http://www.biral.ch/fileadmin/Media/images/Planungstools/PumpStationSelector_DWG/NSZ_1250_2100_63_600_1P</v>
      </c>
      <c r="N417" s="382" t="str">
        <f t="shared" si="20"/>
        <v>NSZ_1250_2100_63_600_1P</v>
      </c>
      <c r="P417">
        <v>1000</v>
      </c>
      <c r="Q417" s="388">
        <v>4.18</v>
      </c>
      <c r="R417" s="446">
        <v>4.25</v>
      </c>
    </row>
    <row r="418" spans="11:18" x14ac:dyDescent="0.25">
      <c r="K418" s="382" t="str">
        <f t="shared" si="24"/>
        <v>NSZ_1250_2350_63_600_1P</v>
      </c>
      <c r="L418" s="384" t="str">
        <f>Sprachen!$E$266</f>
        <v>nessuno</v>
      </c>
      <c r="M418" s="432" t="str">
        <f t="shared" si="22"/>
        <v>http://www.biral.ch/fileadmin/Media/images/Planungstools/PumpStationSelector_DWG/NSZ_1250_2350_63_600_1P</v>
      </c>
      <c r="N418" s="382" t="str">
        <f t="shared" si="20"/>
        <v>NSZ_1250_2350_63_600_1P</v>
      </c>
      <c r="P418">
        <v>1000</v>
      </c>
      <c r="Q418" s="388">
        <v>4.1900000000000004</v>
      </c>
      <c r="R418" s="446">
        <v>4.25</v>
      </c>
    </row>
    <row r="419" spans="11:18" x14ac:dyDescent="0.25">
      <c r="K419" s="382" t="str">
        <f t="shared" si="24"/>
        <v>NSZ_1250_2600_63_600_1P</v>
      </c>
      <c r="L419" s="384" t="str">
        <f>Sprachen!$E$266</f>
        <v>nessuno</v>
      </c>
      <c r="M419" s="432" t="str">
        <f t="shared" si="22"/>
        <v>http://www.biral.ch/fileadmin/Media/images/Planungstools/PumpStationSelector_DWG/NSZ_1250_2600_63_600_1P</v>
      </c>
      <c r="N419" s="382" t="str">
        <f t="shared" si="20"/>
        <v>NSZ_1250_2600_63_600_1P</v>
      </c>
      <c r="P419">
        <v>1000</v>
      </c>
      <c r="Q419" s="388">
        <v>4.2</v>
      </c>
      <c r="R419" s="446">
        <v>4.25</v>
      </c>
    </row>
    <row r="420" spans="11:18" x14ac:dyDescent="0.25">
      <c r="K420" s="382" t="str">
        <f t="shared" si="24"/>
        <v>NSZ_1250_2850_63_600_1P</v>
      </c>
      <c r="L420" s="384" t="str">
        <f>Sprachen!$E$266</f>
        <v>nessuno</v>
      </c>
      <c r="M420" s="432" t="str">
        <f t="shared" si="22"/>
        <v>http://www.biral.ch/fileadmin/Media/images/Planungstools/PumpStationSelector_DWG/NSZ_1250_2850_63_600_1P</v>
      </c>
      <c r="N420" s="382" t="str">
        <f t="shared" si="20"/>
        <v>NSZ_1250_2850_63_600_1P</v>
      </c>
      <c r="P420">
        <v>1000</v>
      </c>
      <c r="Q420" s="388">
        <v>4.21</v>
      </c>
      <c r="R420" s="446">
        <v>4.25</v>
      </c>
    </row>
    <row r="421" spans="11:18" x14ac:dyDescent="0.25">
      <c r="K421" s="382" t="str">
        <f t="shared" si="24"/>
        <v>NSZ_1250_3100_63_600_1P</v>
      </c>
      <c r="L421" s="384" t="str">
        <f>Sprachen!$E$266</f>
        <v>nessuno</v>
      </c>
      <c r="M421" s="432" t="str">
        <f t="shared" si="22"/>
        <v>http://www.biral.ch/fileadmin/Media/images/Planungstools/PumpStationSelector_DWG/NSZ_1250_3100_63_600_1P</v>
      </c>
      <c r="N421" s="382" t="str">
        <f t="shared" si="20"/>
        <v>NSZ_1250_3100_63_600_1P</v>
      </c>
      <c r="P421">
        <v>1000</v>
      </c>
      <c r="Q421" s="388">
        <v>4.22</v>
      </c>
      <c r="R421" s="446">
        <v>4.25</v>
      </c>
    </row>
    <row r="422" spans="11:18" x14ac:dyDescent="0.25">
      <c r="K422" s="382" t="str">
        <f t="shared" si="24"/>
        <v>NSZ_1250_3350_63_600_1P</v>
      </c>
      <c r="L422" s="384" t="str">
        <f>Sprachen!$E$266</f>
        <v>nessuno</v>
      </c>
      <c r="M422" s="432" t="str">
        <f t="shared" si="22"/>
        <v>http://www.biral.ch/fileadmin/Media/images/Planungstools/PumpStationSelector_DWG/NSZ_1250_3350_63_600_1P</v>
      </c>
      <c r="N422" s="382" t="str">
        <f t="shared" si="20"/>
        <v>NSZ_1250_3350_63_600_1P</v>
      </c>
      <c r="P422">
        <v>1000</v>
      </c>
      <c r="Q422" s="388">
        <v>4.2300000000000004</v>
      </c>
      <c r="R422" s="446">
        <v>4.25</v>
      </c>
    </row>
    <row r="423" spans="11:18" x14ac:dyDescent="0.25">
      <c r="K423" s="382" t="str">
        <f t="shared" si="24"/>
        <v>NSZ_1250_3600_63_600_1P</v>
      </c>
      <c r="L423" s="384" t="str">
        <f>Sprachen!$E$266</f>
        <v>nessuno</v>
      </c>
      <c r="M423" s="432" t="str">
        <f t="shared" si="22"/>
        <v>http://www.biral.ch/fileadmin/Media/images/Planungstools/PumpStationSelector_DWG/NSZ_1250_3600_63_600_1P</v>
      </c>
      <c r="N423" s="382" t="str">
        <f t="shared" ref="N423:N468" si="25">K423</f>
        <v>NSZ_1250_3600_63_600_1P</v>
      </c>
      <c r="P423">
        <v>1000</v>
      </c>
      <c r="Q423" s="388">
        <v>4.24</v>
      </c>
      <c r="R423" s="446">
        <v>4.25</v>
      </c>
    </row>
    <row r="424" spans="11:18" x14ac:dyDescent="0.25">
      <c r="K424" s="382" t="str">
        <f t="shared" si="24"/>
        <v>NSZ_1250_3850_63_600_1P</v>
      </c>
      <c r="L424" s="384" t="str">
        <f>Sprachen!$E$266</f>
        <v>nessuno</v>
      </c>
      <c r="M424" s="432" t="str">
        <f t="shared" si="22"/>
        <v>http://www.biral.ch/fileadmin/Media/images/Planungstools/PumpStationSelector_DWG/NSZ_1250_3850_63_600_1P</v>
      </c>
      <c r="N424" s="382" t="str">
        <f t="shared" si="25"/>
        <v>NSZ_1250_3850_63_600_1P</v>
      </c>
      <c r="P424">
        <v>1000</v>
      </c>
      <c r="Q424" s="388">
        <v>4.25</v>
      </c>
      <c r="R424" s="446">
        <v>4.25</v>
      </c>
    </row>
    <row r="425" spans="11:18" x14ac:dyDescent="0.25">
      <c r="K425" s="382" t="str">
        <f t="shared" si="24"/>
        <v>NSZ_1250_4100_63_600_1P</v>
      </c>
      <c r="L425" s="384" t="str">
        <f>Sprachen!$E$266</f>
        <v>nessuno</v>
      </c>
      <c r="M425" s="432" t="str">
        <f t="shared" si="22"/>
        <v>http://www.biral.ch/fileadmin/Media/images/Planungstools/PumpStationSelector_DWG/NSZ_1250_4100_63_600_1P</v>
      </c>
      <c r="N425" s="382" t="str">
        <f t="shared" si="25"/>
        <v>NSZ_1250_4100_63_600_1P</v>
      </c>
      <c r="P425">
        <v>1000</v>
      </c>
      <c r="Q425" s="388">
        <v>4.26</v>
      </c>
      <c r="R425" s="446">
        <v>4.25</v>
      </c>
    </row>
    <row r="426" spans="11:18" x14ac:dyDescent="0.25">
      <c r="K426" s="382" t="str">
        <f t="shared" si="24"/>
        <v>NSZ_1250_4350_63_600_1P</v>
      </c>
      <c r="L426" s="384" t="str">
        <f>Sprachen!$E$266</f>
        <v>nessuno</v>
      </c>
      <c r="M426" s="432" t="str">
        <f t="shared" si="22"/>
        <v>http://www.biral.ch/fileadmin/Media/images/Planungstools/PumpStationSelector_DWG/NSZ_1250_4350_63_600_1P</v>
      </c>
      <c r="N426" s="382" t="str">
        <f t="shared" si="25"/>
        <v>NSZ_1250_4350_63_600_1P</v>
      </c>
      <c r="P426">
        <v>1000</v>
      </c>
      <c r="Q426" s="388">
        <v>4.2699999999999996</v>
      </c>
      <c r="R426" s="446">
        <v>4.25</v>
      </c>
    </row>
    <row r="427" spans="11:18" x14ac:dyDescent="0.25">
      <c r="K427" s="382" t="str">
        <f t="shared" si="24"/>
        <v>NSZ_1250_4600_63_600_1P</v>
      </c>
      <c r="L427" s="384" t="str">
        <f>Sprachen!$E$266</f>
        <v>nessuno</v>
      </c>
      <c r="M427" s="432" t="str">
        <f t="shared" si="22"/>
        <v>http://www.biral.ch/fileadmin/Media/images/Planungstools/PumpStationSelector_DWG/NSZ_1250_4600_63_600_1P</v>
      </c>
      <c r="N427" s="382" t="str">
        <f t="shared" si="25"/>
        <v>NSZ_1250_4600_63_600_1P</v>
      </c>
      <c r="P427">
        <v>1000</v>
      </c>
      <c r="Q427" s="388">
        <v>4.28</v>
      </c>
      <c r="R427" s="446">
        <v>4.25</v>
      </c>
    </row>
    <row r="428" spans="11:18" x14ac:dyDescent="0.25">
      <c r="K428" s="382" t="str">
        <f t="shared" si="24"/>
        <v>NSZ_1250_4850_63_600_1P</v>
      </c>
      <c r="L428" s="384" t="str">
        <f>Sprachen!$E$266</f>
        <v>nessuno</v>
      </c>
      <c r="M428" s="432" t="str">
        <f t="shared" si="22"/>
        <v>http://www.biral.ch/fileadmin/Media/images/Planungstools/PumpStationSelector_DWG/NSZ_1250_4850_63_600_1P</v>
      </c>
      <c r="N428" s="382" t="str">
        <f t="shared" si="25"/>
        <v>NSZ_1250_4850_63_600_1P</v>
      </c>
      <c r="P428">
        <v>1000</v>
      </c>
      <c r="Q428" s="388">
        <v>4.29</v>
      </c>
      <c r="R428" s="446">
        <v>4.25</v>
      </c>
    </row>
    <row r="429" spans="11:18" x14ac:dyDescent="0.25">
      <c r="K429" s="382" t="str">
        <f t="shared" si="24"/>
        <v>NSZ_1250_5100_63_600_1P</v>
      </c>
      <c r="L429" s="384" t="str">
        <f>Sprachen!$E$266</f>
        <v>nessuno</v>
      </c>
      <c r="M429" s="432" t="str">
        <f t="shared" si="22"/>
        <v>http://www.biral.ch/fileadmin/Media/images/Planungstools/PumpStationSelector_DWG/NSZ_1250_5100_63_600_1P</v>
      </c>
      <c r="N429" s="382" t="str">
        <f t="shared" si="25"/>
        <v>NSZ_1250_5100_63_600_1P</v>
      </c>
      <c r="P429">
        <v>1000</v>
      </c>
      <c r="Q429" s="388">
        <v>4.3</v>
      </c>
      <c r="R429" s="446">
        <v>4.25</v>
      </c>
    </row>
    <row r="430" spans="11:18" x14ac:dyDescent="0.25">
      <c r="K430" s="382" t="str">
        <f t="shared" si="24"/>
        <v>NSZ_1250_5350_63_600_1P</v>
      </c>
      <c r="L430" s="384" t="str">
        <f>Sprachen!$E$266</f>
        <v>nessuno</v>
      </c>
      <c r="M430" s="432" t="str">
        <f t="shared" si="22"/>
        <v>http://www.biral.ch/fileadmin/Media/images/Planungstools/PumpStationSelector_DWG/NSZ_1250_5350_63_600_1P</v>
      </c>
      <c r="N430" s="382" t="str">
        <f t="shared" si="25"/>
        <v>NSZ_1250_5350_63_600_1P</v>
      </c>
      <c r="P430">
        <v>1000</v>
      </c>
      <c r="Q430" s="388">
        <v>4.3099999999999996</v>
      </c>
      <c r="R430" s="446">
        <v>4.25</v>
      </c>
    </row>
    <row r="431" spans="11:18" x14ac:dyDescent="0.25">
      <c r="K431" s="382" t="str">
        <f t="shared" si="24"/>
        <v>NSZ_1250_5600_63_600_1P</v>
      </c>
      <c r="L431" s="384" t="str">
        <f>Sprachen!$E$266</f>
        <v>nessuno</v>
      </c>
      <c r="M431" s="432" t="str">
        <f t="shared" si="22"/>
        <v>http://www.biral.ch/fileadmin/Media/images/Planungstools/PumpStationSelector_DWG/NSZ_1250_5600_63_600_1P</v>
      </c>
      <c r="N431" s="382" t="str">
        <f t="shared" si="25"/>
        <v>NSZ_1250_5600_63_600_1P</v>
      </c>
      <c r="P431">
        <v>1000</v>
      </c>
      <c r="Q431" s="388">
        <v>4.32</v>
      </c>
      <c r="R431" s="446">
        <v>4.25</v>
      </c>
    </row>
    <row r="432" spans="11:18" x14ac:dyDescent="0.25">
      <c r="K432" s="382" t="str">
        <f t="shared" si="24"/>
        <v>NSZ_1250_5850_63_600_1P</v>
      </c>
      <c r="L432" s="384" t="str">
        <f>Sprachen!$E$266</f>
        <v>nessuno</v>
      </c>
      <c r="M432" s="432" t="str">
        <f t="shared" si="22"/>
        <v>http://www.biral.ch/fileadmin/Media/images/Planungstools/PumpStationSelector_DWG/NSZ_1250_5850_63_600_1P</v>
      </c>
      <c r="N432" s="382" t="str">
        <f t="shared" si="25"/>
        <v>NSZ_1250_5850_63_600_1P</v>
      </c>
      <c r="P432">
        <v>1000</v>
      </c>
      <c r="Q432" s="388">
        <v>4.33</v>
      </c>
      <c r="R432" s="446">
        <v>4.25</v>
      </c>
    </row>
    <row r="433" spans="11:18" x14ac:dyDescent="0.25">
      <c r="K433" s="382" t="str">
        <f t="shared" ref="K433:K450" si="26">$C$157&amp;"_"&amp;B158&amp;$E$159&amp;"_600"&amp;$F$158</f>
        <v>NSZ_1250_1600_75_600_1P</v>
      </c>
      <c r="L433" s="384" t="str">
        <f>Sprachen!$E$266</f>
        <v>nessuno</v>
      </c>
      <c r="M433" s="432" t="str">
        <f t="shared" si="22"/>
        <v>http://www.biral.ch/fileadmin/Media/images/Planungstools/PumpStationSelector_DWG/NSZ_1250_1600_75_600_1P</v>
      </c>
      <c r="N433" s="382" t="str">
        <f t="shared" si="25"/>
        <v>NSZ_1250_1600_75_600_1P</v>
      </c>
      <c r="P433">
        <v>1000</v>
      </c>
      <c r="Q433" s="388">
        <v>4.34</v>
      </c>
      <c r="R433" s="446">
        <v>4.25</v>
      </c>
    </row>
    <row r="434" spans="11:18" x14ac:dyDescent="0.25">
      <c r="K434" s="382" t="str">
        <f t="shared" si="26"/>
        <v>NSZ_1250_1850_75_600_1P</v>
      </c>
      <c r="L434" s="384" t="str">
        <f>Sprachen!$E$266</f>
        <v>nessuno</v>
      </c>
      <c r="M434" s="432" t="str">
        <f t="shared" si="22"/>
        <v>http://www.biral.ch/fileadmin/Media/images/Planungstools/PumpStationSelector_DWG/NSZ_1250_1850_75_600_1P</v>
      </c>
      <c r="N434" s="382" t="str">
        <f t="shared" si="25"/>
        <v>NSZ_1250_1850_75_600_1P</v>
      </c>
      <c r="P434">
        <v>1000</v>
      </c>
      <c r="Q434" s="388">
        <v>4.3499999999999996</v>
      </c>
      <c r="R434" s="446">
        <v>4.25</v>
      </c>
    </row>
    <row r="435" spans="11:18" x14ac:dyDescent="0.25">
      <c r="K435" s="382" t="str">
        <f t="shared" si="26"/>
        <v>NSZ_1250_2100_75_600_1P</v>
      </c>
      <c r="L435" s="384" t="str">
        <f>Sprachen!$E$266</f>
        <v>nessuno</v>
      </c>
      <c r="M435" s="432" t="str">
        <f t="shared" si="22"/>
        <v>http://www.biral.ch/fileadmin/Media/images/Planungstools/PumpStationSelector_DWG/NSZ_1250_2100_75_600_1P</v>
      </c>
      <c r="N435" s="382" t="str">
        <f t="shared" si="25"/>
        <v>NSZ_1250_2100_75_600_1P</v>
      </c>
      <c r="P435">
        <v>1000</v>
      </c>
      <c r="Q435" s="388">
        <v>4.3600000000000003</v>
      </c>
      <c r="R435" s="446">
        <v>4.25</v>
      </c>
    </row>
    <row r="436" spans="11:18" x14ac:dyDescent="0.25">
      <c r="K436" s="382" t="str">
        <f t="shared" si="26"/>
        <v>NSZ_1250_2350_75_600_1P</v>
      </c>
      <c r="L436" s="384" t="str">
        <f>Sprachen!$E$266</f>
        <v>nessuno</v>
      </c>
      <c r="M436" s="432" t="str">
        <f t="shared" si="22"/>
        <v>http://www.biral.ch/fileadmin/Media/images/Planungstools/PumpStationSelector_DWG/NSZ_1250_2350_75_600_1P</v>
      </c>
      <c r="N436" s="382" t="str">
        <f t="shared" si="25"/>
        <v>NSZ_1250_2350_75_600_1P</v>
      </c>
      <c r="P436">
        <v>1000</v>
      </c>
      <c r="Q436" s="388">
        <v>4.37</v>
      </c>
      <c r="R436" s="446">
        <v>4.25</v>
      </c>
    </row>
    <row r="437" spans="11:18" x14ac:dyDescent="0.25">
      <c r="K437" s="382" t="str">
        <f t="shared" si="26"/>
        <v>NSZ_1250_2600_75_600_1P</v>
      </c>
      <c r="L437" s="384" t="str">
        <f>Sprachen!$E$266</f>
        <v>nessuno</v>
      </c>
      <c r="M437" s="432" t="str">
        <f t="shared" si="22"/>
        <v>http://www.biral.ch/fileadmin/Media/images/Planungstools/PumpStationSelector_DWG/NSZ_1250_2600_75_600_1P</v>
      </c>
      <c r="N437" s="382" t="str">
        <f t="shared" si="25"/>
        <v>NSZ_1250_2600_75_600_1P</v>
      </c>
      <c r="P437">
        <v>1000</v>
      </c>
      <c r="Q437" s="388">
        <v>4.38</v>
      </c>
      <c r="R437" s="446">
        <v>4.5</v>
      </c>
    </row>
    <row r="438" spans="11:18" x14ac:dyDescent="0.25">
      <c r="K438" s="382" t="str">
        <f t="shared" si="26"/>
        <v>NSZ_1250_2850_75_600_1P</v>
      </c>
      <c r="L438" s="384" t="str">
        <f>Sprachen!$E$266</f>
        <v>nessuno</v>
      </c>
      <c r="M438" s="432" t="str">
        <f t="shared" si="22"/>
        <v>http://www.biral.ch/fileadmin/Media/images/Planungstools/PumpStationSelector_DWG/NSZ_1250_2850_75_600_1P</v>
      </c>
      <c r="N438" s="382" t="str">
        <f t="shared" si="25"/>
        <v>NSZ_1250_2850_75_600_1P</v>
      </c>
      <c r="P438">
        <v>1000</v>
      </c>
      <c r="Q438" s="388">
        <v>4.3899999999999997</v>
      </c>
      <c r="R438" s="446">
        <v>4.5</v>
      </c>
    </row>
    <row r="439" spans="11:18" x14ac:dyDescent="0.25">
      <c r="K439" s="382" t="str">
        <f t="shared" si="26"/>
        <v>NSZ_1250_3100_75_600_1P</v>
      </c>
      <c r="L439" s="384" t="str">
        <f>Sprachen!$E$266</f>
        <v>nessuno</v>
      </c>
      <c r="M439" s="432" t="str">
        <f t="shared" si="22"/>
        <v>http://www.biral.ch/fileadmin/Media/images/Planungstools/PumpStationSelector_DWG/NSZ_1250_3100_75_600_1P</v>
      </c>
      <c r="N439" s="382" t="str">
        <f t="shared" si="25"/>
        <v>NSZ_1250_3100_75_600_1P</v>
      </c>
      <c r="P439">
        <v>1000</v>
      </c>
      <c r="Q439" s="388">
        <v>4.4000000000000004</v>
      </c>
      <c r="R439" s="446">
        <v>4.5</v>
      </c>
    </row>
    <row r="440" spans="11:18" x14ac:dyDescent="0.25">
      <c r="K440" s="382" t="str">
        <f t="shared" si="26"/>
        <v>NSZ_1250_3350_75_600_1P</v>
      </c>
      <c r="L440" s="384" t="str">
        <f>Sprachen!$E$266</f>
        <v>nessuno</v>
      </c>
      <c r="M440" s="432" t="str">
        <f t="shared" si="22"/>
        <v>http://www.biral.ch/fileadmin/Media/images/Planungstools/PumpStationSelector_DWG/NSZ_1250_3350_75_600_1P</v>
      </c>
      <c r="N440" s="382" t="str">
        <f t="shared" si="25"/>
        <v>NSZ_1250_3350_75_600_1P</v>
      </c>
      <c r="P440">
        <v>1000</v>
      </c>
      <c r="Q440" s="388">
        <v>4.41</v>
      </c>
      <c r="R440" s="446">
        <v>4.5</v>
      </c>
    </row>
    <row r="441" spans="11:18" x14ac:dyDescent="0.25">
      <c r="K441" s="382" t="str">
        <f t="shared" si="26"/>
        <v>NSZ_1250_3600_75_600_1P</v>
      </c>
      <c r="L441" s="384" t="str">
        <f>Sprachen!$E$266</f>
        <v>nessuno</v>
      </c>
      <c r="M441" s="432" t="str">
        <f t="shared" si="22"/>
        <v>http://www.biral.ch/fileadmin/Media/images/Planungstools/PumpStationSelector_DWG/NSZ_1250_3600_75_600_1P</v>
      </c>
      <c r="N441" s="382" t="str">
        <f t="shared" si="25"/>
        <v>NSZ_1250_3600_75_600_1P</v>
      </c>
      <c r="P441">
        <v>1000</v>
      </c>
      <c r="Q441" s="388">
        <v>4.42</v>
      </c>
      <c r="R441" s="446">
        <v>4.5</v>
      </c>
    </row>
    <row r="442" spans="11:18" x14ac:dyDescent="0.25">
      <c r="K442" s="382" t="str">
        <f t="shared" si="26"/>
        <v>NSZ_1250_3850_75_600_1P</v>
      </c>
      <c r="L442" s="384" t="str">
        <f>Sprachen!$E$266</f>
        <v>nessuno</v>
      </c>
      <c r="M442" s="432" t="str">
        <f t="shared" si="22"/>
        <v>http://www.biral.ch/fileadmin/Media/images/Planungstools/PumpStationSelector_DWG/NSZ_1250_3850_75_600_1P</v>
      </c>
      <c r="N442" s="382" t="str">
        <f t="shared" si="25"/>
        <v>NSZ_1250_3850_75_600_1P</v>
      </c>
      <c r="P442">
        <v>1000</v>
      </c>
      <c r="Q442" s="388">
        <v>4.43</v>
      </c>
      <c r="R442" s="446">
        <v>4.5</v>
      </c>
    </row>
    <row r="443" spans="11:18" x14ac:dyDescent="0.25">
      <c r="K443" s="382" t="str">
        <f t="shared" si="26"/>
        <v>NSZ_1250_4100_75_600_1P</v>
      </c>
      <c r="L443" s="384" t="str">
        <f>Sprachen!$E$266</f>
        <v>nessuno</v>
      </c>
      <c r="M443" s="432" t="str">
        <f t="shared" ref="M443:M468" si="27">$M$57&amp;N443</f>
        <v>http://www.biral.ch/fileadmin/Media/images/Planungstools/PumpStationSelector_DWG/NSZ_1250_4100_75_600_1P</v>
      </c>
      <c r="N443" s="382" t="str">
        <f t="shared" si="25"/>
        <v>NSZ_1250_4100_75_600_1P</v>
      </c>
      <c r="P443">
        <v>1000</v>
      </c>
      <c r="Q443" s="388">
        <v>4.4400000000000004</v>
      </c>
      <c r="R443" s="446">
        <v>4.5</v>
      </c>
    </row>
    <row r="444" spans="11:18" x14ac:dyDescent="0.25">
      <c r="K444" s="382" t="str">
        <f t="shared" si="26"/>
        <v>NSZ_1250_4350_75_600_1P</v>
      </c>
      <c r="L444" s="384" t="str">
        <f>Sprachen!$E$266</f>
        <v>nessuno</v>
      </c>
      <c r="M444" s="432" t="str">
        <f t="shared" si="27"/>
        <v>http://www.biral.ch/fileadmin/Media/images/Planungstools/PumpStationSelector_DWG/NSZ_1250_4350_75_600_1P</v>
      </c>
      <c r="N444" s="382" t="str">
        <f t="shared" si="25"/>
        <v>NSZ_1250_4350_75_600_1P</v>
      </c>
      <c r="P444">
        <v>1000</v>
      </c>
      <c r="Q444" s="388">
        <v>4.45</v>
      </c>
      <c r="R444" s="446">
        <v>4.5</v>
      </c>
    </row>
    <row r="445" spans="11:18" x14ac:dyDescent="0.25">
      <c r="K445" s="382" t="str">
        <f t="shared" si="26"/>
        <v>NSZ_1250_4600_75_600_1P</v>
      </c>
      <c r="L445" s="384" t="str">
        <f>Sprachen!$E$266</f>
        <v>nessuno</v>
      </c>
      <c r="M445" s="432" t="str">
        <f t="shared" si="27"/>
        <v>http://www.biral.ch/fileadmin/Media/images/Planungstools/PumpStationSelector_DWG/NSZ_1250_4600_75_600_1P</v>
      </c>
      <c r="N445" s="382" t="str">
        <f t="shared" si="25"/>
        <v>NSZ_1250_4600_75_600_1P</v>
      </c>
      <c r="P445">
        <v>1000</v>
      </c>
      <c r="Q445" s="388">
        <v>4.46</v>
      </c>
      <c r="R445" s="446">
        <v>4.5</v>
      </c>
    </row>
    <row r="446" spans="11:18" x14ac:dyDescent="0.25">
      <c r="K446" s="382" t="str">
        <f t="shared" si="26"/>
        <v>NSZ_1250_4850_75_600_1P</v>
      </c>
      <c r="L446" s="384" t="str">
        <f>Sprachen!$E$266</f>
        <v>nessuno</v>
      </c>
      <c r="M446" s="432" t="str">
        <f t="shared" si="27"/>
        <v>http://www.biral.ch/fileadmin/Media/images/Planungstools/PumpStationSelector_DWG/NSZ_1250_4850_75_600_1P</v>
      </c>
      <c r="N446" s="382" t="str">
        <f t="shared" si="25"/>
        <v>NSZ_1250_4850_75_600_1P</v>
      </c>
      <c r="P446">
        <v>1000</v>
      </c>
      <c r="Q446" s="388">
        <v>4.47</v>
      </c>
      <c r="R446" s="446">
        <v>4.5</v>
      </c>
    </row>
    <row r="447" spans="11:18" x14ac:dyDescent="0.25">
      <c r="K447" s="382" t="str">
        <f t="shared" si="26"/>
        <v>NSZ_1250_5100_75_600_1P</v>
      </c>
      <c r="L447" s="384" t="str">
        <f>Sprachen!$E$266</f>
        <v>nessuno</v>
      </c>
      <c r="M447" s="432" t="str">
        <f t="shared" si="27"/>
        <v>http://www.biral.ch/fileadmin/Media/images/Planungstools/PumpStationSelector_DWG/NSZ_1250_5100_75_600_1P</v>
      </c>
      <c r="N447" s="382" t="str">
        <f t="shared" si="25"/>
        <v>NSZ_1250_5100_75_600_1P</v>
      </c>
      <c r="P447">
        <v>1000</v>
      </c>
      <c r="Q447" s="388">
        <v>4.4800000000000004</v>
      </c>
      <c r="R447" s="446">
        <v>4.5</v>
      </c>
    </row>
    <row r="448" spans="11:18" x14ac:dyDescent="0.25">
      <c r="K448" s="382" t="str">
        <f t="shared" si="26"/>
        <v>NSZ_1250_5350_75_600_1P</v>
      </c>
      <c r="L448" s="384" t="str">
        <f>Sprachen!$E$266</f>
        <v>nessuno</v>
      </c>
      <c r="M448" s="432" t="str">
        <f t="shared" si="27"/>
        <v>http://www.biral.ch/fileadmin/Media/images/Planungstools/PumpStationSelector_DWG/NSZ_1250_5350_75_600_1P</v>
      </c>
      <c r="N448" s="382" t="str">
        <f t="shared" si="25"/>
        <v>NSZ_1250_5350_75_600_1P</v>
      </c>
      <c r="P448">
        <v>1000</v>
      </c>
      <c r="Q448" s="388">
        <v>4.49</v>
      </c>
      <c r="R448" s="446">
        <v>4.5</v>
      </c>
    </row>
    <row r="449" spans="11:18" x14ac:dyDescent="0.25">
      <c r="K449" s="382" t="str">
        <f t="shared" si="26"/>
        <v>NSZ_1250_5600_75_600_1P</v>
      </c>
      <c r="L449" s="384" t="str">
        <f>Sprachen!$E$266</f>
        <v>nessuno</v>
      </c>
      <c r="M449" s="432" t="str">
        <f t="shared" si="27"/>
        <v>http://www.biral.ch/fileadmin/Media/images/Planungstools/PumpStationSelector_DWG/NSZ_1250_5600_75_600_1P</v>
      </c>
      <c r="N449" s="382" t="str">
        <f t="shared" si="25"/>
        <v>NSZ_1250_5600_75_600_1P</v>
      </c>
      <c r="P449">
        <v>1000</v>
      </c>
      <c r="Q449" s="388">
        <v>4.5</v>
      </c>
      <c r="R449" s="446">
        <v>4.5</v>
      </c>
    </row>
    <row r="450" spans="11:18" x14ac:dyDescent="0.25">
      <c r="K450" s="382" t="str">
        <f t="shared" si="26"/>
        <v>NSZ_1250_5850_75_600_1P</v>
      </c>
      <c r="L450" s="384" t="str">
        <f>Sprachen!$E$266</f>
        <v>nessuno</v>
      </c>
      <c r="M450" s="432" t="str">
        <f t="shared" si="27"/>
        <v>http://www.biral.ch/fileadmin/Media/images/Planungstools/PumpStationSelector_DWG/NSZ_1250_5850_75_600_1P</v>
      </c>
      <c r="N450" s="382" t="str">
        <f t="shared" si="25"/>
        <v>NSZ_1250_5850_75_600_1P</v>
      </c>
      <c r="P450">
        <v>1000</v>
      </c>
      <c r="Q450" s="388">
        <v>4.51</v>
      </c>
      <c r="R450" s="446">
        <v>4.5</v>
      </c>
    </row>
    <row r="451" spans="11:18" x14ac:dyDescent="0.25">
      <c r="K451" s="382" t="str">
        <f t="shared" ref="K451:K468" si="28">$C$157&amp;"_"&amp;B158&amp;$E$160&amp;"_600"&amp;$F$158</f>
        <v>NSZ_1250_1600_90_600_1P</v>
      </c>
      <c r="L451" s="384" t="str">
        <f>Sprachen!$E$266</f>
        <v>nessuno</v>
      </c>
      <c r="M451" s="432" t="str">
        <f t="shared" si="27"/>
        <v>http://www.biral.ch/fileadmin/Media/images/Planungstools/PumpStationSelector_DWG/NSZ_1250_1600_90_600_1P</v>
      </c>
      <c r="N451" s="382" t="str">
        <f t="shared" si="25"/>
        <v>NSZ_1250_1600_90_600_1P</v>
      </c>
      <c r="P451">
        <v>1000</v>
      </c>
      <c r="Q451" s="388">
        <v>4.5199999999999996</v>
      </c>
      <c r="R451" s="446">
        <v>4.5</v>
      </c>
    </row>
    <row r="452" spans="11:18" x14ac:dyDescent="0.25">
      <c r="K452" s="382" t="str">
        <f t="shared" si="28"/>
        <v>NSZ_1250_1850_90_600_1P</v>
      </c>
      <c r="L452" s="384" t="str">
        <f>Sprachen!$E$266</f>
        <v>nessuno</v>
      </c>
      <c r="M452" s="432" t="str">
        <f t="shared" si="27"/>
        <v>http://www.biral.ch/fileadmin/Media/images/Planungstools/PumpStationSelector_DWG/NSZ_1250_1850_90_600_1P</v>
      </c>
      <c r="N452" s="382" t="str">
        <f t="shared" si="25"/>
        <v>NSZ_1250_1850_90_600_1P</v>
      </c>
      <c r="P452">
        <v>1000</v>
      </c>
      <c r="Q452" s="388">
        <v>4.53</v>
      </c>
      <c r="R452" s="446">
        <v>4.5</v>
      </c>
    </row>
    <row r="453" spans="11:18" x14ac:dyDescent="0.25">
      <c r="K453" s="382" t="str">
        <f t="shared" si="28"/>
        <v>NSZ_1250_2100_90_600_1P</v>
      </c>
      <c r="L453" s="384" t="str">
        <f>Sprachen!$E$266</f>
        <v>nessuno</v>
      </c>
      <c r="M453" s="432" t="str">
        <f t="shared" si="27"/>
        <v>http://www.biral.ch/fileadmin/Media/images/Planungstools/PumpStationSelector_DWG/NSZ_1250_2100_90_600_1P</v>
      </c>
      <c r="N453" s="382" t="str">
        <f t="shared" si="25"/>
        <v>NSZ_1250_2100_90_600_1P</v>
      </c>
      <c r="P453">
        <v>1000</v>
      </c>
      <c r="Q453" s="388">
        <v>4.54</v>
      </c>
      <c r="R453" s="446">
        <v>4.5</v>
      </c>
    </row>
    <row r="454" spans="11:18" x14ac:dyDescent="0.25">
      <c r="K454" s="382" t="str">
        <f t="shared" si="28"/>
        <v>NSZ_1250_2350_90_600_1P</v>
      </c>
      <c r="L454" s="384" t="str">
        <f>Sprachen!$E$266</f>
        <v>nessuno</v>
      </c>
      <c r="M454" s="432" t="str">
        <f t="shared" si="27"/>
        <v>http://www.biral.ch/fileadmin/Media/images/Planungstools/PumpStationSelector_DWG/NSZ_1250_2350_90_600_1P</v>
      </c>
      <c r="N454" s="382" t="str">
        <f t="shared" si="25"/>
        <v>NSZ_1250_2350_90_600_1P</v>
      </c>
      <c r="P454">
        <v>1000</v>
      </c>
      <c r="Q454" s="388">
        <v>4.55</v>
      </c>
      <c r="R454" s="446">
        <v>4.5</v>
      </c>
    </row>
    <row r="455" spans="11:18" x14ac:dyDescent="0.25">
      <c r="K455" s="382" t="str">
        <f t="shared" si="28"/>
        <v>NSZ_1250_2600_90_600_1P</v>
      </c>
      <c r="L455" s="384" t="str">
        <f>Sprachen!$E$266</f>
        <v>nessuno</v>
      </c>
      <c r="M455" s="432" t="str">
        <f t="shared" si="27"/>
        <v>http://www.biral.ch/fileadmin/Media/images/Planungstools/PumpStationSelector_DWG/NSZ_1250_2600_90_600_1P</v>
      </c>
      <c r="N455" s="382" t="str">
        <f t="shared" si="25"/>
        <v>NSZ_1250_2600_90_600_1P</v>
      </c>
      <c r="P455">
        <v>1000</v>
      </c>
      <c r="Q455" s="388">
        <v>4.5599999999999996</v>
      </c>
      <c r="R455" s="446">
        <v>4.5</v>
      </c>
    </row>
    <row r="456" spans="11:18" x14ac:dyDescent="0.25">
      <c r="K456" s="382" t="str">
        <f t="shared" si="28"/>
        <v>NSZ_1250_2850_90_600_1P</v>
      </c>
      <c r="L456" s="384" t="str">
        <f>Sprachen!$E$266</f>
        <v>nessuno</v>
      </c>
      <c r="M456" s="432" t="str">
        <f t="shared" si="27"/>
        <v>http://www.biral.ch/fileadmin/Media/images/Planungstools/PumpStationSelector_DWG/NSZ_1250_2850_90_600_1P</v>
      </c>
      <c r="N456" s="382" t="str">
        <f t="shared" si="25"/>
        <v>NSZ_1250_2850_90_600_1P</v>
      </c>
      <c r="P456">
        <v>1000</v>
      </c>
      <c r="Q456" s="388">
        <v>4.57</v>
      </c>
      <c r="R456" s="446">
        <v>4.5</v>
      </c>
    </row>
    <row r="457" spans="11:18" x14ac:dyDescent="0.25">
      <c r="K457" s="382" t="str">
        <f t="shared" si="28"/>
        <v>NSZ_1250_3100_90_600_1P</v>
      </c>
      <c r="L457" s="384" t="str">
        <f>Sprachen!$E$266</f>
        <v>nessuno</v>
      </c>
      <c r="M457" s="432" t="str">
        <f t="shared" si="27"/>
        <v>http://www.biral.ch/fileadmin/Media/images/Planungstools/PumpStationSelector_DWG/NSZ_1250_3100_90_600_1P</v>
      </c>
      <c r="N457" s="382" t="str">
        <f t="shared" si="25"/>
        <v>NSZ_1250_3100_90_600_1P</v>
      </c>
      <c r="P457">
        <v>1000</v>
      </c>
      <c r="Q457" s="388">
        <v>4.58</v>
      </c>
      <c r="R457" s="446">
        <v>4.5</v>
      </c>
    </row>
    <row r="458" spans="11:18" x14ac:dyDescent="0.25">
      <c r="K458" s="382" t="str">
        <f t="shared" si="28"/>
        <v>NSZ_1250_3350_90_600_1P</v>
      </c>
      <c r="L458" s="384" t="str">
        <f>Sprachen!$E$266</f>
        <v>nessuno</v>
      </c>
      <c r="M458" s="432" t="str">
        <f t="shared" si="27"/>
        <v>http://www.biral.ch/fileadmin/Media/images/Planungstools/PumpStationSelector_DWG/NSZ_1250_3350_90_600_1P</v>
      </c>
      <c r="N458" s="382" t="str">
        <f t="shared" si="25"/>
        <v>NSZ_1250_3350_90_600_1P</v>
      </c>
      <c r="P458">
        <v>1000</v>
      </c>
      <c r="Q458" s="388">
        <v>4.59</v>
      </c>
      <c r="R458" s="446">
        <v>4.5</v>
      </c>
    </row>
    <row r="459" spans="11:18" x14ac:dyDescent="0.25">
      <c r="K459" s="382" t="str">
        <f t="shared" si="28"/>
        <v>NSZ_1250_3600_90_600_1P</v>
      </c>
      <c r="L459" s="384" t="str">
        <f>Sprachen!$E$266</f>
        <v>nessuno</v>
      </c>
      <c r="M459" s="432" t="str">
        <f t="shared" si="27"/>
        <v>http://www.biral.ch/fileadmin/Media/images/Planungstools/PumpStationSelector_DWG/NSZ_1250_3600_90_600_1P</v>
      </c>
      <c r="N459" s="382" t="str">
        <f t="shared" si="25"/>
        <v>NSZ_1250_3600_90_600_1P</v>
      </c>
      <c r="P459">
        <v>1000</v>
      </c>
      <c r="Q459" s="388">
        <v>4.5999999999999996</v>
      </c>
      <c r="R459" s="446">
        <v>4.5</v>
      </c>
    </row>
    <row r="460" spans="11:18" x14ac:dyDescent="0.25">
      <c r="K460" s="382" t="str">
        <f t="shared" si="28"/>
        <v>NSZ_1250_3850_90_600_1P</v>
      </c>
      <c r="L460" s="384" t="str">
        <f>Sprachen!$E$266</f>
        <v>nessuno</v>
      </c>
      <c r="M460" s="432" t="str">
        <f t="shared" si="27"/>
        <v>http://www.biral.ch/fileadmin/Media/images/Planungstools/PumpStationSelector_DWG/NSZ_1250_3850_90_600_1P</v>
      </c>
      <c r="N460" s="382" t="str">
        <f t="shared" si="25"/>
        <v>NSZ_1250_3850_90_600_1P</v>
      </c>
      <c r="P460">
        <v>1000</v>
      </c>
      <c r="Q460" s="388">
        <v>4.6100000000000003</v>
      </c>
      <c r="R460" s="446">
        <v>4.5</v>
      </c>
    </row>
    <row r="461" spans="11:18" x14ac:dyDescent="0.25">
      <c r="K461" s="382" t="str">
        <f t="shared" si="28"/>
        <v>NSZ_1250_4100_90_600_1P</v>
      </c>
      <c r="L461" s="384" t="str">
        <f>Sprachen!$E$266</f>
        <v>nessuno</v>
      </c>
      <c r="M461" s="432" t="str">
        <f t="shared" si="27"/>
        <v>http://www.biral.ch/fileadmin/Media/images/Planungstools/PumpStationSelector_DWG/NSZ_1250_4100_90_600_1P</v>
      </c>
      <c r="N461" s="382" t="str">
        <f t="shared" si="25"/>
        <v>NSZ_1250_4100_90_600_1P</v>
      </c>
      <c r="P461">
        <v>1000</v>
      </c>
      <c r="Q461" s="388">
        <v>4.62</v>
      </c>
      <c r="R461" s="446">
        <v>4.5</v>
      </c>
    </row>
    <row r="462" spans="11:18" x14ac:dyDescent="0.25">
      <c r="K462" s="382" t="str">
        <f t="shared" si="28"/>
        <v>NSZ_1250_4350_90_600_1P</v>
      </c>
      <c r="L462" s="384" t="str">
        <f>Sprachen!$E$266</f>
        <v>nessuno</v>
      </c>
      <c r="M462" s="432" t="str">
        <f t="shared" si="27"/>
        <v>http://www.biral.ch/fileadmin/Media/images/Planungstools/PumpStationSelector_DWG/NSZ_1250_4350_90_600_1P</v>
      </c>
      <c r="N462" s="382" t="str">
        <f t="shared" si="25"/>
        <v>NSZ_1250_4350_90_600_1P</v>
      </c>
      <c r="P462">
        <v>1000</v>
      </c>
      <c r="Q462" s="388">
        <v>4.63</v>
      </c>
      <c r="R462" s="446">
        <v>4.75</v>
      </c>
    </row>
    <row r="463" spans="11:18" x14ac:dyDescent="0.25">
      <c r="K463" s="382" t="str">
        <f t="shared" si="28"/>
        <v>NSZ_1250_4600_90_600_1P</v>
      </c>
      <c r="L463" s="384" t="str">
        <f>Sprachen!$E$266</f>
        <v>nessuno</v>
      </c>
      <c r="M463" s="432" t="str">
        <f t="shared" si="27"/>
        <v>http://www.biral.ch/fileadmin/Media/images/Planungstools/PumpStationSelector_DWG/NSZ_1250_4600_90_600_1P</v>
      </c>
      <c r="N463" s="382" t="str">
        <f t="shared" si="25"/>
        <v>NSZ_1250_4600_90_600_1P</v>
      </c>
      <c r="P463">
        <v>1000</v>
      </c>
      <c r="Q463" s="388">
        <v>4.6399999999999997</v>
      </c>
      <c r="R463" s="446">
        <v>4.75</v>
      </c>
    </row>
    <row r="464" spans="11:18" x14ac:dyDescent="0.25">
      <c r="K464" s="382" t="str">
        <f t="shared" si="28"/>
        <v>NSZ_1250_4850_90_600_1P</v>
      </c>
      <c r="L464" s="384" t="str">
        <f>Sprachen!$E$266</f>
        <v>nessuno</v>
      </c>
      <c r="M464" s="432" t="str">
        <f t="shared" si="27"/>
        <v>http://www.biral.ch/fileadmin/Media/images/Planungstools/PumpStationSelector_DWG/NSZ_1250_4850_90_600_1P</v>
      </c>
      <c r="N464" s="382" t="str">
        <f t="shared" si="25"/>
        <v>NSZ_1250_4850_90_600_1P</v>
      </c>
      <c r="P464">
        <v>1000</v>
      </c>
      <c r="Q464" s="388">
        <v>4.6500000000000004</v>
      </c>
      <c r="R464" s="446">
        <v>4.75</v>
      </c>
    </row>
    <row r="465" spans="11:18" x14ac:dyDescent="0.25">
      <c r="K465" s="382" t="str">
        <f t="shared" si="28"/>
        <v>NSZ_1250_5100_90_600_1P</v>
      </c>
      <c r="L465" s="384" t="str">
        <f>Sprachen!$E$266</f>
        <v>nessuno</v>
      </c>
      <c r="M465" s="432" t="str">
        <f t="shared" si="27"/>
        <v>http://www.biral.ch/fileadmin/Media/images/Planungstools/PumpStationSelector_DWG/NSZ_1250_5100_90_600_1P</v>
      </c>
      <c r="N465" s="382" t="str">
        <f t="shared" si="25"/>
        <v>NSZ_1250_5100_90_600_1P</v>
      </c>
      <c r="P465">
        <v>1000</v>
      </c>
      <c r="Q465" s="388">
        <v>4.66</v>
      </c>
      <c r="R465" s="446">
        <v>4.75</v>
      </c>
    </row>
    <row r="466" spans="11:18" x14ac:dyDescent="0.25">
      <c r="K466" s="382" t="str">
        <f t="shared" si="28"/>
        <v>NSZ_1250_5350_90_600_1P</v>
      </c>
      <c r="L466" s="384" t="str">
        <f>Sprachen!$E$266</f>
        <v>nessuno</v>
      </c>
      <c r="M466" s="432" t="str">
        <f t="shared" si="27"/>
        <v>http://www.biral.ch/fileadmin/Media/images/Planungstools/PumpStationSelector_DWG/NSZ_1250_5350_90_600_1P</v>
      </c>
      <c r="N466" s="382" t="str">
        <f t="shared" si="25"/>
        <v>NSZ_1250_5350_90_600_1P</v>
      </c>
      <c r="P466">
        <v>1000</v>
      </c>
      <c r="Q466" s="388">
        <v>4.67</v>
      </c>
      <c r="R466" s="446">
        <v>4.75</v>
      </c>
    </row>
    <row r="467" spans="11:18" x14ac:dyDescent="0.25">
      <c r="K467" s="382" t="str">
        <f t="shared" si="28"/>
        <v>NSZ_1250_5600_90_600_1P</v>
      </c>
      <c r="L467" s="384" t="str">
        <f>Sprachen!$E$266</f>
        <v>nessuno</v>
      </c>
      <c r="M467" s="432" t="str">
        <f t="shared" si="27"/>
        <v>http://www.biral.ch/fileadmin/Media/images/Planungstools/PumpStationSelector_DWG/NSZ_1250_5600_90_600_1P</v>
      </c>
      <c r="N467" s="382" t="str">
        <f t="shared" si="25"/>
        <v>NSZ_1250_5600_90_600_1P</v>
      </c>
      <c r="P467">
        <v>1000</v>
      </c>
      <c r="Q467" s="388">
        <v>4.68</v>
      </c>
      <c r="R467" s="446">
        <v>4.75</v>
      </c>
    </row>
    <row r="468" spans="11:18" x14ac:dyDescent="0.25">
      <c r="K468" s="382" t="str">
        <f t="shared" si="28"/>
        <v>NSZ_1250_5850_90_600_1P</v>
      </c>
      <c r="L468" s="384" t="str">
        <f>Sprachen!$E$266</f>
        <v>nessuno</v>
      </c>
      <c r="M468" s="432" t="str">
        <f t="shared" si="27"/>
        <v>http://www.biral.ch/fileadmin/Media/images/Planungstools/PumpStationSelector_DWG/NSZ_1250_5850_90_600_1P</v>
      </c>
      <c r="N468" s="382" t="str">
        <f t="shared" si="25"/>
        <v>NSZ_1250_5850_90_600_1P</v>
      </c>
      <c r="P468">
        <v>1000</v>
      </c>
      <c r="Q468" s="388">
        <v>4.6900000000000004</v>
      </c>
      <c r="R468" s="446">
        <v>4.75</v>
      </c>
    </row>
    <row r="469" spans="11:18" x14ac:dyDescent="0.25">
      <c r="K469" s="382" t="str">
        <f>$E$157&amp;"_"&amp;D158&amp;$E$158&amp;"_600"&amp;$F$159</f>
        <v>NSZ-D_1250_1620_63_600_2P</v>
      </c>
      <c r="L469" s="384" t="str">
        <f>Sprachen!$E$266</f>
        <v>nessuno</v>
      </c>
      <c r="M469" s="432" t="str">
        <f t="shared" ref="M469:M516" si="29">$M$57&amp;N469</f>
        <v>http://www.biral.ch/fileadmin/Media/images/Planungstools/PumpStationSelector_DWG/NSZ-D_1250_1620_63_600_2P</v>
      </c>
      <c r="N469" s="382" t="str">
        <f t="shared" ref="N469:N496" si="30">K469</f>
        <v>NSZ-D_1250_1620_63_600_2P</v>
      </c>
      <c r="P469">
        <v>1000</v>
      </c>
      <c r="Q469" s="388">
        <v>4.7</v>
      </c>
      <c r="R469" s="446">
        <v>4.75</v>
      </c>
    </row>
    <row r="470" spans="11:18" x14ac:dyDescent="0.25">
      <c r="K470" s="382" t="str">
        <f t="shared" ref="K470:K486" si="31">$E$157&amp;"_"&amp;D159&amp;$E$158&amp;"_600"&amp;$F$159</f>
        <v>NSZ-D_1250_1870_63_600_2P</v>
      </c>
      <c r="L470" s="384" t="str">
        <f>Sprachen!$E$266</f>
        <v>nessuno</v>
      </c>
      <c r="M470" s="432" t="str">
        <f t="shared" si="29"/>
        <v>http://www.biral.ch/fileadmin/Media/images/Planungstools/PumpStationSelector_DWG/NSZ-D_1250_1870_63_600_2P</v>
      </c>
      <c r="N470" s="382" t="str">
        <f t="shared" si="30"/>
        <v>NSZ-D_1250_1870_63_600_2P</v>
      </c>
      <c r="P470">
        <v>1000</v>
      </c>
      <c r="Q470" s="388">
        <v>4.71</v>
      </c>
      <c r="R470" s="446">
        <v>4.75</v>
      </c>
    </row>
    <row r="471" spans="11:18" x14ac:dyDescent="0.25">
      <c r="K471" s="382" t="str">
        <f t="shared" si="31"/>
        <v>NSZ-D_1250_2120_63_600_2P</v>
      </c>
      <c r="L471" s="384" t="str">
        <f>Sprachen!$E$266</f>
        <v>nessuno</v>
      </c>
      <c r="M471" s="432" t="str">
        <f t="shared" si="29"/>
        <v>http://www.biral.ch/fileadmin/Media/images/Planungstools/PumpStationSelector_DWG/NSZ-D_1250_2120_63_600_2P</v>
      </c>
      <c r="N471" s="382" t="str">
        <f t="shared" si="30"/>
        <v>NSZ-D_1250_2120_63_600_2P</v>
      </c>
      <c r="P471">
        <v>1000</v>
      </c>
      <c r="Q471" s="388">
        <v>4.72</v>
      </c>
      <c r="R471" s="446">
        <v>4.75</v>
      </c>
    </row>
    <row r="472" spans="11:18" x14ac:dyDescent="0.25">
      <c r="K472" s="382" t="str">
        <f t="shared" si="31"/>
        <v>NSZ-D_1250_2370_63_600_2P</v>
      </c>
      <c r="L472" s="384" t="str">
        <f>Sprachen!$E$266</f>
        <v>nessuno</v>
      </c>
      <c r="M472" s="432" t="str">
        <f t="shared" si="29"/>
        <v>http://www.biral.ch/fileadmin/Media/images/Planungstools/PumpStationSelector_DWG/NSZ-D_1250_2370_63_600_2P</v>
      </c>
      <c r="N472" s="382" t="str">
        <f t="shared" si="30"/>
        <v>NSZ-D_1250_2370_63_600_2P</v>
      </c>
      <c r="P472">
        <v>1000</v>
      </c>
      <c r="Q472" s="388">
        <v>4.7300000000000004</v>
      </c>
      <c r="R472" s="446">
        <v>4.75</v>
      </c>
    </row>
    <row r="473" spans="11:18" x14ac:dyDescent="0.25">
      <c r="K473" s="382" t="str">
        <f t="shared" si="31"/>
        <v>NSZ-D_1250_2620_63_600_2P</v>
      </c>
      <c r="L473" s="384" t="str">
        <f>Sprachen!$E$266</f>
        <v>nessuno</v>
      </c>
      <c r="M473" s="432" t="str">
        <f t="shared" si="29"/>
        <v>http://www.biral.ch/fileadmin/Media/images/Planungstools/PumpStationSelector_DWG/NSZ-D_1250_2620_63_600_2P</v>
      </c>
      <c r="N473" s="382" t="str">
        <f t="shared" si="30"/>
        <v>NSZ-D_1250_2620_63_600_2P</v>
      </c>
      <c r="P473">
        <v>1000</v>
      </c>
      <c r="Q473" s="388">
        <v>4.74</v>
      </c>
      <c r="R473" s="446">
        <v>4.75</v>
      </c>
    </row>
    <row r="474" spans="11:18" x14ac:dyDescent="0.25">
      <c r="K474" s="382" t="str">
        <f t="shared" si="31"/>
        <v>NSZ-D_1250_2870_63_600_2P</v>
      </c>
      <c r="L474" s="384" t="str">
        <f>Sprachen!$E$266</f>
        <v>nessuno</v>
      </c>
      <c r="M474" s="432" t="str">
        <f t="shared" si="29"/>
        <v>http://www.biral.ch/fileadmin/Media/images/Planungstools/PumpStationSelector_DWG/NSZ-D_1250_2870_63_600_2P</v>
      </c>
      <c r="N474" s="382" t="str">
        <f t="shared" si="30"/>
        <v>NSZ-D_1250_2870_63_600_2P</v>
      </c>
      <c r="P474">
        <v>1000</v>
      </c>
      <c r="Q474" s="388">
        <v>4.75</v>
      </c>
      <c r="R474" s="446">
        <v>4.75</v>
      </c>
    </row>
    <row r="475" spans="11:18" x14ac:dyDescent="0.25">
      <c r="K475" s="382" t="str">
        <f t="shared" si="31"/>
        <v>NSZ-D_1250_3120_63_600_2P</v>
      </c>
      <c r="L475" s="384" t="str">
        <f>Sprachen!$E$266</f>
        <v>nessuno</v>
      </c>
      <c r="M475" s="432" t="str">
        <f t="shared" si="29"/>
        <v>http://www.biral.ch/fileadmin/Media/images/Planungstools/PumpStationSelector_DWG/NSZ-D_1250_3120_63_600_2P</v>
      </c>
      <c r="N475" s="382" t="str">
        <f t="shared" si="30"/>
        <v>NSZ-D_1250_3120_63_600_2P</v>
      </c>
      <c r="P475">
        <v>1000</v>
      </c>
      <c r="Q475" s="388">
        <v>4.76</v>
      </c>
      <c r="R475" s="446">
        <v>4.75</v>
      </c>
    </row>
    <row r="476" spans="11:18" x14ac:dyDescent="0.25">
      <c r="K476" s="382" t="str">
        <f t="shared" si="31"/>
        <v>NSZ-D_1250_3370_63_600_2P</v>
      </c>
      <c r="L476" s="384" t="str">
        <f>Sprachen!$E$266</f>
        <v>nessuno</v>
      </c>
      <c r="M476" s="432" t="str">
        <f t="shared" si="29"/>
        <v>http://www.biral.ch/fileadmin/Media/images/Planungstools/PumpStationSelector_DWG/NSZ-D_1250_3370_63_600_2P</v>
      </c>
      <c r="N476" s="382" t="str">
        <f t="shared" si="30"/>
        <v>NSZ-D_1250_3370_63_600_2P</v>
      </c>
      <c r="P476">
        <v>1000</v>
      </c>
      <c r="Q476" s="388">
        <v>4.7699999999999996</v>
      </c>
      <c r="R476" s="446">
        <v>4.75</v>
      </c>
    </row>
    <row r="477" spans="11:18" x14ac:dyDescent="0.25">
      <c r="K477" s="382" t="str">
        <f t="shared" si="31"/>
        <v>NSZ-D_1250_3620_63_600_2P</v>
      </c>
      <c r="L477" s="384" t="str">
        <f>Sprachen!$E$266</f>
        <v>nessuno</v>
      </c>
      <c r="M477" s="432" t="str">
        <f t="shared" si="29"/>
        <v>http://www.biral.ch/fileadmin/Media/images/Planungstools/PumpStationSelector_DWG/NSZ-D_1250_3620_63_600_2P</v>
      </c>
      <c r="N477" s="382" t="str">
        <f t="shared" si="30"/>
        <v>NSZ-D_1250_3620_63_600_2P</v>
      </c>
      <c r="P477">
        <v>1000</v>
      </c>
      <c r="Q477" s="388">
        <v>4.78</v>
      </c>
      <c r="R477" s="446">
        <v>4.75</v>
      </c>
    </row>
    <row r="478" spans="11:18" x14ac:dyDescent="0.25">
      <c r="K478" s="382" t="str">
        <f t="shared" si="31"/>
        <v>NSZ-D_1250_3870_63_600_2P</v>
      </c>
      <c r="L478" s="384" t="str">
        <f>Sprachen!$E$266</f>
        <v>nessuno</v>
      </c>
      <c r="M478" s="432" t="str">
        <f t="shared" si="29"/>
        <v>http://www.biral.ch/fileadmin/Media/images/Planungstools/PumpStationSelector_DWG/NSZ-D_1250_3870_63_600_2P</v>
      </c>
      <c r="N478" s="382" t="str">
        <f t="shared" si="30"/>
        <v>NSZ-D_1250_3870_63_600_2P</v>
      </c>
      <c r="P478">
        <v>1000</v>
      </c>
      <c r="Q478" s="388">
        <v>4.79</v>
      </c>
      <c r="R478" s="446">
        <v>4.75</v>
      </c>
    </row>
    <row r="479" spans="11:18" x14ac:dyDescent="0.25">
      <c r="K479" s="382" t="str">
        <f t="shared" si="31"/>
        <v>NSZ-D_1250_4120_63_600_2P</v>
      </c>
      <c r="L479" s="384" t="str">
        <f>Sprachen!$E$266</f>
        <v>nessuno</v>
      </c>
      <c r="M479" s="432" t="str">
        <f t="shared" si="29"/>
        <v>http://www.biral.ch/fileadmin/Media/images/Planungstools/PumpStationSelector_DWG/NSZ-D_1250_4120_63_600_2P</v>
      </c>
      <c r="N479" s="382" t="str">
        <f t="shared" si="30"/>
        <v>NSZ-D_1250_4120_63_600_2P</v>
      </c>
      <c r="P479">
        <v>1000</v>
      </c>
      <c r="Q479" s="388">
        <v>4.8</v>
      </c>
      <c r="R479" s="446">
        <v>4.75</v>
      </c>
    </row>
    <row r="480" spans="11:18" x14ac:dyDescent="0.25">
      <c r="K480" s="382" t="str">
        <f t="shared" si="31"/>
        <v>NSZ-D_1250_4370_63_600_2P</v>
      </c>
      <c r="L480" s="384" t="str">
        <f>Sprachen!$E$266</f>
        <v>nessuno</v>
      </c>
      <c r="M480" s="432" t="str">
        <f t="shared" si="29"/>
        <v>http://www.biral.ch/fileadmin/Media/images/Planungstools/PumpStationSelector_DWG/NSZ-D_1250_4370_63_600_2P</v>
      </c>
      <c r="N480" s="382" t="str">
        <f t="shared" si="30"/>
        <v>NSZ-D_1250_4370_63_600_2P</v>
      </c>
      <c r="P480">
        <v>1000</v>
      </c>
      <c r="Q480" s="388">
        <v>4.8099999999999996</v>
      </c>
      <c r="R480" s="446">
        <v>4.75</v>
      </c>
    </row>
    <row r="481" spans="11:18" x14ac:dyDescent="0.25">
      <c r="K481" s="382" t="str">
        <f t="shared" si="31"/>
        <v>NSZ-D_1250_4620_63_600_2P</v>
      </c>
      <c r="L481" s="384" t="str">
        <f>Sprachen!$E$266</f>
        <v>nessuno</v>
      </c>
      <c r="M481" s="432" t="str">
        <f t="shared" si="29"/>
        <v>http://www.biral.ch/fileadmin/Media/images/Planungstools/PumpStationSelector_DWG/NSZ-D_1250_4620_63_600_2P</v>
      </c>
      <c r="N481" s="382" t="str">
        <f t="shared" si="30"/>
        <v>NSZ-D_1250_4620_63_600_2P</v>
      </c>
      <c r="P481">
        <v>1000</v>
      </c>
      <c r="Q481" s="388">
        <v>4.82</v>
      </c>
      <c r="R481" s="446">
        <v>4.75</v>
      </c>
    </row>
    <row r="482" spans="11:18" x14ac:dyDescent="0.25">
      <c r="K482" s="382" t="str">
        <f t="shared" si="31"/>
        <v>NSZ-D_1250_4870_63_600_2P</v>
      </c>
      <c r="L482" s="384" t="str">
        <f>Sprachen!$E$266</f>
        <v>nessuno</v>
      </c>
      <c r="M482" s="432" t="str">
        <f t="shared" si="29"/>
        <v>http://www.biral.ch/fileadmin/Media/images/Planungstools/PumpStationSelector_DWG/NSZ-D_1250_4870_63_600_2P</v>
      </c>
      <c r="N482" s="382" t="str">
        <f t="shared" si="30"/>
        <v>NSZ-D_1250_4870_63_600_2P</v>
      </c>
      <c r="P482">
        <v>1000</v>
      </c>
      <c r="Q482" s="388">
        <v>4.83</v>
      </c>
      <c r="R482" s="446">
        <v>4.75</v>
      </c>
    </row>
    <row r="483" spans="11:18" x14ac:dyDescent="0.25">
      <c r="K483" s="382" t="str">
        <f t="shared" si="31"/>
        <v>NSZ-D_1250_5120_63_600_2P</v>
      </c>
      <c r="L483" s="384" t="str">
        <f>Sprachen!$E$266</f>
        <v>nessuno</v>
      </c>
      <c r="M483" s="432" t="str">
        <f t="shared" si="29"/>
        <v>http://www.biral.ch/fileadmin/Media/images/Planungstools/PumpStationSelector_DWG/NSZ-D_1250_5120_63_600_2P</v>
      </c>
      <c r="N483" s="382" t="str">
        <f t="shared" si="30"/>
        <v>NSZ-D_1250_5120_63_600_2P</v>
      </c>
      <c r="P483">
        <v>1000</v>
      </c>
      <c r="Q483" s="388">
        <v>4.84</v>
      </c>
      <c r="R483" s="446">
        <v>4.75</v>
      </c>
    </row>
    <row r="484" spans="11:18" x14ac:dyDescent="0.25">
      <c r="K484" s="382" t="str">
        <f t="shared" si="31"/>
        <v>NSZ-D_1250_5370_63_600_2P</v>
      </c>
      <c r="L484" s="384" t="str">
        <f>Sprachen!$E$266</f>
        <v>nessuno</v>
      </c>
      <c r="M484" s="432" t="str">
        <f t="shared" si="29"/>
        <v>http://www.biral.ch/fileadmin/Media/images/Planungstools/PumpStationSelector_DWG/NSZ-D_1250_5370_63_600_2P</v>
      </c>
      <c r="N484" s="382" t="str">
        <f t="shared" si="30"/>
        <v>NSZ-D_1250_5370_63_600_2P</v>
      </c>
      <c r="P484">
        <v>1000</v>
      </c>
      <c r="Q484" s="388">
        <v>4.8499999999999996</v>
      </c>
      <c r="R484" s="446">
        <v>4.75</v>
      </c>
    </row>
    <row r="485" spans="11:18" x14ac:dyDescent="0.25">
      <c r="K485" s="382" t="str">
        <f t="shared" si="31"/>
        <v>NSZ-D_1250_5620_63_600_2P</v>
      </c>
      <c r="L485" s="384" t="str">
        <f>Sprachen!$E$266</f>
        <v>nessuno</v>
      </c>
      <c r="M485" s="432" t="str">
        <f t="shared" si="29"/>
        <v>http://www.biral.ch/fileadmin/Media/images/Planungstools/PumpStationSelector_DWG/NSZ-D_1250_5620_63_600_2P</v>
      </c>
      <c r="N485" s="382" t="str">
        <f t="shared" si="30"/>
        <v>NSZ-D_1250_5620_63_600_2P</v>
      </c>
      <c r="P485">
        <v>1000</v>
      </c>
      <c r="Q485" s="388">
        <v>4.8600000000000003</v>
      </c>
      <c r="R485" s="446">
        <v>4.75</v>
      </c>
    </row>
    <row r="486" spans="11:18" x14ac:dyDescent="0.25">
      <c r="K486" s="382" t="str">
        <f t="shared" si="31"/>
        <v>NSZ-D_1250_5870_63_600_2P</v>
      </c>
      <c r="L486" s="384" t="str">
        <f>Sprachen!$E$266</f>
        <v>nessuno</v>
      </c>
      <c r="M486" s="432" t="str">
        <f t="shared" si="29"/>
        <v>http://www.biral.ch/fileadmin/Media/images/Planungstools/PumpStationSelector_DWG/NSZ-D_1250_5870_63_600_2P</v>
      </c>
      <c r="N486" s="382" t="str">
        <f t="shared" si="30"/>
        <v>NSZ-D_1250_5870_63_600_2P</v>
      </c>
      <c r="P486">
        <v>1000</v>
      </c>
      <c r="Q486" s="388">
        <v>4.87</v>
      </c>
      <c r="R486" s="446">
        <v>4.75</v>
      </c>
    </row>
    <row r="487" spans="11:18" x14ac:dyDescent="0.25">
      <c r="K487" s="382" t="str">
        <f>$E$157&amp;"_"&amp;D158&amp;$E$159&amp;"_600"&amp;$F$159</f>
        <v>NSZ-D_1250_1620_75_600_2P</v>
      </c>
      <c r="L487" s="384" t="str">
        <f>Sprachen!$E$266</f>
        <v>nessuno</v>
      </c>
      <c r="M487" s="432" t="str">
        <f t="shared" si="29"/>
        <v>http://www.biral.ch/fileadmin/Media/images/Planungstools/PumpStationSelector_DWG/NSZ-D_1250_1620_75_600_2P</v>
      </c>
      <c r="N487" s="382" t="str">
        <f t="shared" si="30"/>
        <v>NSZ-D_1250_1620_75_600_2P</v>
      </c>
      <c r="P487">
        <v>1000</v>
      </c>
      <c r="Q487" s="388">
        <v>4.88</v>
      </c>
      <c r="R487" s="446">
        <v>5</v>
      </c>
    </row>
    <row r="488" spans="11:18" x14ac:dyDescent="0.25">
      <c r="K488" s="382" t="str">
        <f t="shared" ref="K488:K504" si="32">$E$157&amp;"_"&amp;D159&amp;$E$159&amp;"_600"&amp;$F$159</f>
        <v>NSZ-D_1250_1870_75_600_2P</v>
      </c>
      <c r="L488" s="384" t="str">
        <f>Sprachen!$E$266</f>
        <v>nessuno</v>
      </c>
      <c r="M488" s="432" t="str">
        <f t="shared" si="29"/>
        <v>http://www.biral.ch/fileadmin/Media/images/Planungstools/PumpStationSelector_DWG/NSZ-D_1250_1870_75_600_2P</v>
      </c>
      <c r="N488" s="382" t="str">
        <f t="shared" si="30"/>
        <v>NSZ-D_1250_1870_75_600_2P</v>
      </c>
      <c r="P488">
        <v>1000</v>
      </c>
      <c r="Q488" s="388">
        <v>4.8899999999999997</v>
      </c>
      <c r="R488" s="446">
        <v>5</v>
      </c>
    </row>
    <row r="489" spans="11:18" x14ac:dyDescent="0.25">
      <c r="K489" s="382" t="str">
        <f t="shared" si="32"/>
        <v>NSZ-D_1250_2120_75_600_2P</v>
      </c>
      <c r="L489" s="384" t="str">
        <f>Sprachen!$E$266</f>
        <v>nessuno</v>
      </c>
      <c r="M489" s="432" t="str">
        <f t="shared" si="29"/>
        <v>http://www.biral.ch/fileadmin/Media/images/Planungstools/PumpStationSelector_DWG/NSZ-D_1250_2120_75_600_2P</v>
      </c>
      <c r="N489" s="382" t="str">
        <f t="shared" si="30"/>
        <v>NSZ-D_1250_2120_75_600_2P</v>
      </c>
      <c r="P489">
        <v>1000</v>
      </c>
      <c r="Q489" s="388">
        <v>4.9000000000000004</v>
      </c>
      <c r="R489" s="446">
        <v>5</v>
      </c>
    </row>
    <row r="490" spans="11:18" x14ac:dyDescent="0.25">
      <c r="K490" s="382" t="str">
        <f t="shared" si="32"/>
        <v>NSZ-D_1250_2370_75_600_2P</v>
      </c>
      <c r="L490" s="384" t="str">
        <f>Sprachen!$E$266</f>
        <v>nessuno</v>
      </c>
      <c r="M490" s="432" t="str">
        <f t="shared" si="29"/>
        <v>http://www.biral.ch/fileadmin/Media/images/Planungstools/PumpStationSelector_DWG/NSZ-D_1250_2370_75_600_2P</v>
      </c>
      <c r="N490" s="382" t="str">
        <f t="shared" si="30"/>
        <v>NSZ-D_1250_2370_75_600_2P</v>
      </c>
      <c r="P490">
        <v>1000</v>
      </c>
      <c r="Q490" s="388">
        <v>4.91</v>
      </c>
      <c r="R490" s="446">
        <v>5</v>
      </c>
    </row>
    <row r="491" spans="11:18" x14ac:dyDescent="0.25">
      <c r="K491" s="382" t="str">
        <f t="shared" si="32"/>
        <v>NSZ-D_1250_2620_75_600_2P</v>
      </c>
      <c r="L491" s="384" t="str">
        <f>Sprachen!$E$266</f>
        <v>nessuno</v>
      </c>
      <c r="M491" s="432" t="str">
        <f t="shared" si="29"/>
        <v>http://www.biral.ch/fileadmin/Media/images/Planungstools/PumpStationSelector_DWG/NSZ-D_1250_2620_75_600_2P</v>
      </c>
      <c r="N491" s="382" t="str">
        <f t="shared" si="30"/>
        <v>NSZ-D_1250_2620_75_600_2P</v>
      </c>
      <c r="P491">
        <v>1000</v>
      </c>
      <c r="Q491" s="388">
        <v>4.92</v>
      </c>
      <c r="R491" s="446">
        <v>5</v>
      </c>
    </row>
    <row r="492" spans="11:18" x14ac:dyDescent="0.25">
      <c r="K492" s="382" t="str">
        <f t="shared" si="32"/>
        <v>NSZ-D_1250_2870_75_600_2P</v>
      </c>
      <c r="L492" s="384" t="str">
        <f>Sprachen!$E$266</f>
        <v>nessuno</v>
      </c>
      <c r="M492" s="432" t="str">
        <f t="shared" si="29"/>
        <v>http://www.biral.ch/fileadmin/Media/images/Planungstools/PumpStationSelector_DWG/NSZ-D_1250_2870_75_600_2P</v>
      </c>
      <c r="N492" s="382" t="str">
        <f t="shared" si="30"/>
        <v>NSZ-D_1250_2870_75_600_2P</v>
      </c>
      <c r="P492">
        <v>1000</v>
      </c>
      <c r="Q492" s="388">
        <v>4.93</v>
      </c>
      <c r="R492" s="446">
        <v>5</v>
      </c>
    </row>
    <row r="493" spans="11:18" x14ac:dyDescent="0.25">
      <c r="K493" s="382" t="str">
        <f t="shared" si="32"/>
        <v>NSZ-D_1250_3120_75_600_2P</v>
      </c>
      <c r="L493" s="384" t="str">
        <f>Sprachen!$E$266</f>
        <v>nessuno</v>
      </c>
      <c r="M493" s="432" t="str">
        <f t="shared" si="29"/>
        <v>http://www.biral.ch/fileadmin/Media/images/Planungstools/PumpStationSelector_DWG/NSZ-D_1250_3120_75_600_2P</v>
      </c>
      <c r="N493" s="382" t="str">
        <f t="shared" si="30"/>
        <v>NSZ-D_1250_3120_75_600_2P</v>
      </c>
      <c r="P493">
        <v>1000</v>
      </c>
      <c r="Q493" s="388">
        <v>4.9400000000000004</v>
      </c>
      <c r="R493" s="446">
        <v>5</v>
      </c>
    </row>
    <row r="494" spans="11:18" x14ac:dyDescent="0.25">
      <c r="K494" s="382" t="str">
        <f t="shared" si="32"/>
        <v>NSZ-D_1250_3370_75_600_2P</v>
      </c>
      <c r="L494" s="384" t="str">
        <f>Sprachen!$E$266</f>
        <v>nessuno</v>
      </c>
      <c r="M494" s="432" t="str">
        <f t="shared" si="29"/>
        <v>http://www.biral.ch/fileadmin/Media/images/Planungstools/PumpStationSelector_DWG/NSZ-D_1250_3370_75_600_2P</v>
      </c>
      <c r="N494" s="382" t="str">
        <f t="shared" si="30"/>
        <v>NSZ-D_1250_3370_75_600_2P</v>
      </c>
      <c r="P494">
        <v>1000</v>
      </c>
      <c r="Q494" s="388">
        <v>4.95</v>
      </c>
      <c r="R494" s="446">
        <v>5</v>
      </c>
    </row>
    <row r="495" spans="11:18" x14ac:dyDescent="0.25">
      <c r="K495" s="382" t="str">
        <f t="shared" si="32"/>
        <v>NSZ-D_1250_3620_75_600_2P</v>
      </c>
      <c r="L495" s="384" t="str">
        <f>Sprachen!$E$266</f>
        <v>nessuno</v>
      </c>
      <c r="M495" s="432" t="str">
        <f t="shared" si="29"/>
        <v>http://www.biral.ch/fileadmin/Media/images/Planungstools/PumpStationSelector_DWG/NSZ-D_1250_3620_75_600_2P</v>
      </c>
      <c r="N495" s="382" t="str">
        <f t="shared" si="30"/>
        <v>NSZ-D_1250_3620_75_600_2P</v>
      </c>
      <c r="P495">
        <v>1000</v>
      </c>
      <c r="Q495" s="388">
        <v>4.96</v>
      </c>
      <c r="R495" s="446">
        <v>5</v>
      </c>
    </row>
    <row r="496" spans="11:18" x14ac:dyDescent="0.25">
      <c r="K496" s="382" t="str">
        <f t="shared" si="32"/>
        <v>NSZ-D_1250_3870_75_600_2P</v>
      </c>
      <c r="L496" s="384" t="str">
        <f>Sprachen!$E$266</f>
        <v>nessuno</v>
      </c>
      <c r="M496" s="432" t="str">
        <f t="shared" si="29"/>
        <v>http://www.biral.ch/fileadmin/Media/images/Planungstools/PumpStationSelector_DWG/NSZ-D_1250_3870_75_600_2P</v>
      </c>
      <c r="N496" s="382" t="str">
        <f t="shared" si="30"/>
        <v>NSZ-D_1250_3870_75_600_2P</v>
      </c>
      <c r="P496">
        <v>1000</v>
      </c>
      <c r="Q496" s="388">
        <v>4.97</v>
      </c>
      <c r="R496" s="446">
        <v>5</v>
      </c>
    </row>
    <row r="497" spans="11:18" x14ac:dyDescent="0.25">
      <c r="K497" s="382" t="str">
        <f t="shared" si="32"/>
        <v>NSZ-D_1250_4120_75_600_2P</v>
      </c>
      <c r="L497" s="384" t="str">
        <f>Sprachen!$E$266</f>
        <v>nessuno</v>
      </c>
      <c r="M497" s="432" t="str">
        <f t="shared" si="29"/>
        <v>http://www.biral.ch/fileadmin/Media/images/Planungstools/PumpStationSelector_DWG/NSZ-D_1250_4120_75_600_2P</v>
      </c>
      <c r="N497" s="382" t="str">
        <f t="shared" ref="N497:N560" si="33">K497</f>
        <v>NSZ-D_1250_4120_75_600_2P</v>
      </c>
      <c r="P497">
        <v>1000</v>
      </c>
      <c r="Q497" s="388">
        <v>4.9800000000000004</v>
      </c>
      <c r="R497" s="446">
        <v>5</v>
      </c>
    </row>
    <row r="498" spans="11:18" x14ac:dyDescent="0.25">
      <c r="K498" s="382" t="str">
        <f t="shared" si="32"/>
        <v>NSZ-D_1250_4370_75_600_2P</v>
      </c>
      <c r="L498" s="384" t="str">
        <f>Sprachen!$E$266</f>
        <v>nessuno</v>
      </c>
      <c r="M498" s="432" t="str">
        <f t="shared" si="29"/>
        <v>http://www.biral.ch/fileadmin/Media/images/Planungstools/PumpStationSelector_DWG/NSZ-D_1250_4370_75_600_2P</v>
      </c>
      <c r="N498" s="382" t="str">
        <f t="shared" si="33"/>
        <v>NSZ-D_1250_4370_75_600_2P</v>
      </c>
      <c r="P498">
        <v>1000</v>
      </c>
      <c r="Q498" s="388">
        <v>4.99</v>
      </c>
      <c r="R498" s="446">
        <v>5</v>
      </c>
    </row>
    <row r="499" spans="11:18" x14ac:dyDescent="0.25">
      <c r="K499" s="382" t="str">
        <f t="shared" si="32"/>
        <v>NSZ-D_1250_4620_75_600_2P</v>
      </c>
      <c r="L499" s="384" t="str">
        <f>Sprachen!$E$266</f>
        <v>nessuno</v>
      </c>
      <c r="M499" s="432" t="str">
        <f t="shared" si="29"/>
        <v>http://www.biral.ch/fileadmin/Media/images/Planungstools/PumpStationSelector_DWG/NSZ-D_1250_4620_75_600_2P</v>
      </c>
      <c r="N499" s="382" t="str">
        <f t="shared" si="33"/>
        <v>NSZ-D_1250_4620_75_600_2P</v>
      </c>
      <c r="P499">
        <v>1000</v>
      </c>
      <c r="Q499" s="388">
        <v>5</v>
      </c>
      <c r="R499" s="446">
        <v>5</v>
      </c>
    </row>
    <row r="500" spans="11:18" x14ac:dyDescent="0.25">
      <c r="K500" s="382" t="str">
        <f t="shared" si="32"/>
        <v>NSZ-D_1250_4870_75_600_2P</v>
      </c>
      <c r="L500" s="384" t="str">
        <f>Sprachen!$E$266</f>
        <v>nessuno</v>
      </c>
      <c r="M500" s="432" t="str">
        <f t="shared" si="29"/>
        <v>http://www.biral.ch/fileadmin/Media/images/Planungstools/PumpStationSelector_DWG/NSZ-D_1250_4870_75_600_2P</v>
      </c>
      <c r="N500" s="382" t="str">
        <f t="shared" si="33"/>
        <v>NSZ-D_1250_4870_75_600_2P</v>
      </c>
      <c r="P500">
        <v>1000</v>
      </c>
      <c r="Q500" s="388">
        <v>5.01</v>
      </c>
      <c r="R500" s="446">
        <v>5</v>
      </c>
    </row>
    <row r="501" spans="11:18" x14ac:dyDescent="0.25">
      <c r="K501" s="382" t="str">
        <f t="shared" si="32"/>
        <v>NSZ-D_1250_5120_75_600_2P</v>
      </c>
      <c r="L501" s="384" t="str">
        <f>Sprachen!$E$266</f>
        <v>nessuno</v>
      </c>
      <c r="M501" s="432" t="str">
        <f t="shared" si="29"/>
        <v>http://www.biral.ch/fileadmin/Media/images/Planungstools/PumpStationSelector_DWG/NSZ-D_1250_5120_75_600_2P</v>
      </c>
      <c r="N501" s="382" t="str">
        <f t="shared" si="33"/>
        <v>NSZ-D_1250_5120_75_600_2P</v>
      </c>
      <c r="P501">
        <v>1000</v>
      </c>
      <c r="Q501" s="388">
        <v>5.0199999999999996</v>
      </c>
      <c r="R501" s="446">
        <v>5</v>
      </c>
    </row>
    <row r="502" spans="11:18" x14ac:dyDescent="0.25">
      <c r="K502" s="382" t="str">
        <f t="shared" si="32"/>
        <v>NSZ-D_1250_5370_75_600_2P</v>
      </c>
      <c r="L502" s="384" t="str">
        <f>Sprachen!$E$266</f>
        <v>nessuno</v>
      </c>
      <c r="M502" s="432" t="str">
        <f t="shared" si="29"/>
        <v>http://www.biral.ch/fileadmin/Media/images/Planungstools/PumpStationSelector_DWG/NSZ-D_1250_5370_75_600_2P</v>
      </c>
      <c r="N502" s="382" t="str">
        <f t="shared" si="33"/>
        <v>NSZ-D_1250_5370_75_600_2P</v>
      </c>
      <c r="P502">
        <v>1000</v>
      </c>
      <c r="Q502" s="388">
        <v>5.03</v>
      </c>
      <c r="R502" s="446">
        <v>5</v>
      </c>
    </row>
    <row r="503" spans="11:18" x14ac:dyDescent="0.25">
      <c r="K503" s="382" t="str">
        <f t="shared" si="32"/>
        <v>NSZ-D_1250_5620_75_600_2P</v>
      </c>
      <c r="L503" s="384" t="str">
        <f>Sprachen!$E$266</f>
        <v>nessuno</v>
      </c>
      <c r="M503" s="432" t="str">
        <f t="shared" si="29"/>
        <v>http://www.biral.ch/fileadmin/Media/images/Planungstools/PumpStationSelector_DWG/NSZ-D_1250_5620_75_600_2P</v>
      </c>
      <c r="N503" s="382" t="str">
        <f t="shared" si="33"/>
        <v>NSZ-D_1250_5620_75_600_2P</v>
      </c>
      <c r="P503">
        <v>1000</v>
      </c>
      <c r="Q503" s="388">
        <v>5.04</v>
      </c>
      <c r="R503" s="446">
        <v>5</v>
      </c>
    </row>
    <row r="504" spans="11:18" x14ac:dyDescent="0.25">
      <c r="K504" s="382" t="str">
        <f t="shared" si="32"/>
        <v>NSZ-D_1250_5870_75_600_2P</v>
      </c>
      <c r="L504" s="384" t="str">
        <f>Sprachen!$E$266</f>
        <v>nessuno</v>
      </c>
      <c r="M504" s="432" t="str">
        <f t="shared" si="29"/>
        <v>http://www.biral.ch/fileadmin/Media/images/Planungstools/PumpStationSelector_DWG/NSZ-D_1250_5870_75_600_2P</v>
      </c>
      <c r="N504" s="382" t="str">
        <f t="shared" si="33"/>
        <v>NSZ-D_1250_5870_75_600_2P</v>
      </c>
      <c r="P504">
        <v>1000</v>
      </c>
      <c r="Q504" s="388">
        <v>5.05</v>
      </c>
      <c r="R504" s="446">
        <v>5</v>
      </c>
    </row>
    <row r="505" spans="11:18" x14ac:dyDescent="0.25">
      <c r="K505" s="382" t="str">
        <f>$E$157&amp;"_"&amp;D158&amp;$E$160&amp;"_600"&amp;$F$159</f>
        <v>NSZ-D_1250_1620_90_600_2P</v>
      </c>
      <c r="L505" s="384" t="str">
        <f>Sprachen!$E$266</f>
        <v>nessuno</v>
      </c>
      <c r="M505" s="432" t="str">
        <f t="shared" si="29"/>
        <v>http://www.biral.ch/fileadmin/Media/images/Planungstools/PumpStationSelector_DWG/NSZ-D_1250_1620_90_600_2P</v>
      </c>
      <c r="N505" s="382" t="str">
        <f t="shared" si="33"/>
        <v>NSZ-D_1250_1620_90_600_2P</v>
      </c>
      <c r="P505">
        <v>1000</v>
      </c>
      <c r="Q505" s="388">
        <v>5.0599999999999996</v>
      </c>
      <c r="R505" s="446">
        <v>5</v>
      </c>
    </row>
    <row r="506" spans="11:18" x14ac:dyDescent="0.25">
      <c r="K506" s="382" t="str">
        <f t="shared" ref="K506:K522" si="34">$E$157&amp;"_"&amp;D159&amp;$E$160&amp;"_600"&amp;$F$159</f>
        <v>NSZ-D_1250_1870_90_600_2P</v>
      </c>
      <c r="L506" s="384" t="str">
        <f>Sprachen!$E$266</f>
        <v>nessuno</v>
      </c>
      <c r="M506" s="432" t="str">
        <f t="shared" si="29"/>
        <v>http://www.biral.ch/fileadmin/Media/images/Planungstools/PumpStationSelector_DWG/NSZ-D_1250_1870_90_600_2P</v>
      </c>
      <c r="N506" s="382" t="str">
        <f t="shared" si="33"/>
        <v>NSZ-D_1250_1870_90_600_2P</v>
      </c>
      <c r="P506">
        <v>1000</v>
      </c>
      <c r="Q506" s="388">
        <v>5.07</v>
      </c>
      <c r="R506" s="446">
        <v>5</v>
      </c>
    </row>
    <row r="507" spans="11:18" x14ac:dyDescent="0.25">
      <c r="K507" s="382" t="str">
        <f t="shared" si="34"/>
        <v>NSZ-D_1250_2120_90_600_2P</v>
      </c>
      <c r="L507" s="384" t="str">
        <f>Sprachen!$E$266</f>
        <v>nessuno</v>
      </c>
      <c r="M507" s="432" t="str">
        <f t="shared" si="29"/>
        <v>http://www.biral.ch/fileadmin/Media/images/Planungstools/PumpStationSelector_DWG/NSZ-D_1250_2120_90_600_2P</v>
      </c>
      <c r="N507" s="382" t="str">
        <f t="shared" si="33"/>
        <v>NSZ-D_1250_2120_90_600_2P</v>
      </c>
      <c r="P507">
        <v>1000</v>
      </c>
      <c r="Q507" s="388">
        <v>5.08</v>
      </c>
      <c r="R507" s="446">
        <v>5</v>
      </c>
    </row>
    <row r="508" spans="11:18" x14ac:dyDescent="0.25">
      <c r="K508" s="382" t="str">
        <f t="shared" si="34"/>
        <v>NSZ-D_1250_2370_90_600_2P</v>
      </c>
      <c r="L508" s="384" t="str">
        <f>Sprachen!$E$266</f>
        <v>nessuno</v>
      </c>
      <c r="M508" s="432" t="str">
        <f t="shared" si="29"/>
        <v>http://www.biral.ch/fileadmin/Media/images/Planungstools/PumpStationSelector_DWG/NSZ-D_1250_2370_90_600_2P</v>
      </c>
      <c r="N508" s="382" t="str">
        <f t="shared" si="33"/>
        <v>NSZ-D_1250_2370_90_600_2P</v>
      </c>
      <c r="P508">
        <v>1000</v>
      </c>
      <c r="Q508" s="388">
        <v>5.09</v>
      </c>
      <c r="R508" s="446">
        <v>5</v>
      </c>
    </row>
    <row r="509" spans="11:18" x14ac:dyDescent="0.25">
      <c r="K509" s="382" t="str">
        <f t="shared" si="34"/>
        <v>NSZ-D_1250_2620_90_600_2P</v>
      </c>
      <c r="L509" s="384" t="str">
        <f>Sprachen!$E$266</f>
        <v>nessuno</v>
      </c>
      <c r="M509" s="432" t="str">
        <f t="shared" si="29"/>
        <v>http://www.biral.ch/fileadmin/Media/images/Planungstools/PumpStationSelector_DWG/NSZ-D_1250_2620_90_600_2P</v>
      </c>
      <c r="N509" s="382" t="str">
        <f t="shared" si="33"/>
        <v>NSZ-D_1250_2620_90_600_2P</v>
      </c>
      <c r="P509">
        <v>1000</v>
      </c>
      <c r="Q509" s="388">
        <v>5.0999999999999996</v>
      </c>
      <c r="R509" s="446">
        <v>5</v>
      </c>
    </row>
    <row r="510" spans="11:18" x14ac:dyDescent="0.25">
      <c r="K510" s="382" t="str">
        <f t="shared" si="34"/>
        <v>NSZ-D_1250_2870_90_600_2P</v>
      </c>
      <c r="L510" s="384" t="str">
        <f>Sprachen!$E$266</f>
        <v>nessuno</v>
      </c>
      <c r="M510" s="432" t="str">
        <f t="shared" si="29"/>
        <v>http://www.biral.ch/fileadmin/Media/images/Planungstools/PumpStationSelector_DWG/NSZ-D_1250_2870_90_600_2P</v>
      </c>
      <c r="N510" s="382" t="str">
        <f t="shared" si="33"/>
        <v>NSZ-D_1250_2870_90_600_2P</v>
      </c>
      <c r="P510">
        <v>1000</v>
      </c>
      <c r="Q510" s="388">
        <v>5.1100000000000003</v>
      </c>
      <c r="R510" s="446">
        <v>5.25</v>
      </c>
    </row>
    <row r="511" spans="11:18" x14ac:dyDescent="0.25">
      <c r="K511" s="382" t="str">
        <f t="shared" si="34"/>
        <v>NSZ-D_1250_3120_90_600_2P</v>
      </c>
      <c r="L511" s="384" t="str">
        <f>Sprachen!$E$266</f>
        <v>nessuno</v>
      </c>
      <c r="M511" s="432" t="str">
        <f t="shared" si="29"/>
        <v>http://www.biral.ch/fileadmin/Media/images/Planungstools/PumpStationSelector_DWG/NSZ-D_1250_3120_90_600_2P</v>
      </c>
      <c r="N511" s="382" t="str">
        <f t="shared" si="33"/>
        <v>NSZ-D_1250_3120_90_600_2P</v>
      </c>
      <c r="P511">
        <v>1000</v>
      </c>
      <c r="Q511" s="388">
        <v>5.12</v>
      </c>
      <c r="R511" s="446">
        <v>5.25</v>
      </c>
    </row>
    <row r="512" spans="11:18" x14ac:dyDescent="0.25">
      <c r="K512" s="382" t="str">
        <f t="shared" si="34"/>
        <v>NSZ-D_1250_3370_90_600_2P</v>
      </c>
      <c r="L512" s="384" t="str">
        <f>Sprachen!$E$266</f>
        <v>nessuno</v>
      </c>
      <c r="M512" s="432" t="str">
        <f t="shared" si="29"/>
        <v>http://www.biral.ch/fileadmin/Media/images/Planungstools/PumpStationSelector_DWG/NSZ-D_1250_3370_90_600_2P</v>
      </c>
      <c r="N512" s="382" t="str">
        <f t="shared" si="33"/>
        <v>NSZ-D_1250_3370_90_600_2P</v>
      </c>
      <c r="P512">
        <v>1000</v>
      </c>
      <c r="Q512" s="388">
        <v>5.13</v>
      </c>
      <c r="R512" s="446">
        <v>5.25</v>
      </c>
    </row>
    <row r="513" spans="11:18" x14ac:dyDescent="0.25">
      <c r="K513" s="382" t="str">
        <f t="shared" si="34"/>
        <v>NSZ-D_1250_3620_90_600_2P</v>
      </c>
      <c r="L513" s="384" t="str">
        <f>Sprachen!$E$266</f>
        <v>nessuno</v>
      </c>
      <c r="M513" s="432" t="str">
        <f t="shared" si="29"/>
        <v>http://www.biral.ch/fileadmin/Media/images/Planungstools/PumpStationSelector_DWG/NSZ-D_1250_3620_90_600_2P</v>
      </c>
      <c r="N513" s="382" t="str">
        <f t="shared" si="33"/>
        <v>NSZ-D_1250_3620_90_600_2P</v>
      </c>
      <c r="P513">
        <v>1000</v>
      </c>
      <c r="Q513" s="388">
        <v>5.14</v>
      </c>
      <c r="R513" s="446">
        <v>5.25</v>
      </c>
    </row>
    <row r="514" spans="11:18" x14ac:dyDescent="0.25">
      <c r="K514" s="382" t="str">
        <f t="shared" si="34"/>
        <v>NSZ-D_1250_3870_90_600_2P</v>
      </c>
      <c r="L514" s="384" t="str">
        <f>Sprachen!$E$266</f>
        <v>nessuno</v>
      </c>
      <c r="M514" s="432" t="str">
        <f t="shared" si="29"/>
        <v>http://www.biral.ch/fileadmin/Media/images/Planungstools/PumpStationSelector_DWG/NSZ-D_1250_3870_90_600_2P</v>
      </c>
      <c r="N514" s="382" t="str">
        <f t="shared" si="33"/>
        <v>NSZ-D_1250_3870_90_600_2P</v>
      </c>
      <c r="P514">
        <v>1000</v>
      </c>
      <c r="Q514" s="388">
        <v>5.15</v>
      </c>
      <c r="R514" s="446">
        <v>5.25</v>
      </c>
    </row>
    <row r="515" spans="11:18" x14ac:dyDescent="0.25">
      <c r="K515" s="382" t="str">
        <f t="shared" si="34"/>
        <v>NSZ-D_1250_4120_90_600_2P</v>
      </c>
      <c r="L515" s="384" t="str">
        <f>Sprachen!$E$266</f>
        <v>nessuno</v>
      </c>
      <c r="M515" s="432" t="str">
        <f t="shared" si="29"/>
        <v>http://www.biral.ch/fileadmin/Media/images/Planungstools/PumpStationSelector_DWG/NSZ-D_1250_4120_90_600_2P</v>
      </c>
      <c r="N515" s="382" t="str">
        <f t="shared" si="33"/>
        <v>NSZ-D_1250_4120_90_600_2P</v>
      </c>
      <c r="P515">
        <v>1000</v>
      </c>
      <c r="Q515" s="388">
        <v>5.16</v>
      </c>
      <c r="R515" s="446">
        <v>5.25</v>
      </c>
    </row>
    <row r="516" spans="11:18" x14ac:dyDescent="0.25">
      <c r="K516" s="382" t="str">
        <f t="shared" si="34"/>
        <v>NSZ-D_1250_4370_90_600_2P</v>
      </c>
      <c r="L516" s="384" t="str">
        <f>Sprachen!$E$266</f>
        <v>nessuno</v>
      </c>
      <c r="M516" s="432" t="str">
        <f t="shared" si="29"/>
        <v>http://www.biral.ch/fileadmin/Media/images/Planungstools/PumpStationSelector_DWG/NSZ-D_1250_4370_90_600_2P</v>
      </c>
      <c r="N516" s="382" t="str">
        <f t="shared" si="33"/>
        <v>NSZ-D_1250_4370_90_600_2P</v>
      </c>
      <c r="P516">
        <v>1000</v>
      </c>
      <c r="Q516" s="388">
        <v>5.17</v>
      </c>
      <c r="R516" s="446">
        <v>5.25</v>
      </c>
    </row>
    <row r="517" spans="11:18" x14ac:dyDescent="0.25">
      <c r="K517" s="382" t="str">
        <f t="shared" si="34"/>
        <v>NSZ-D_1250_4620_90_600_2P</v>
      </c>
      <c r="L517" s="384" t="str">
        <f>Sprachen!$E$266</f>
        <v>nessuno</v>
      </c>
      <c r="M517" s="432" t="str">
        <f t="shared" ref="M517:M580" si="35">$M$57&amp;N517</f>
        <v>http://www.biral.ch/fileadmin/Media/images/Planungstools/PumpStationSelector_DWG/NSZ-D_1250_4620_90_600_2P</v>
      </c>
      <c r="N517" s="382" t="str">
        <f t="shared" si="33"/>
        <v>NSZ-D_1250_4620_90_600_2P</v>
      </c>
      <c r="P517">
        <v>1000</v>
      </c>
      <c r="Q517" s="388">
        <v>5.18</v>
      </c>
      <c r="R517" s="446">
        <v>5.25</v>
      </c>
    </row>
    <row r="518" spans="11:18" x14ac:dyDescent="0.25">
      <c r="K518" s="382" t="str">
        <f t="shared" si="34"/>
        <v>NSZ-D_1250_4870_90_600_2P</v>
      </c>
      <c r="L518" s="384" t="str">
        <f>Sprachen!$E$266</f>
        <v>nessuno</v>
      </c>
      <c r="M518" s="432" t="str">
        <f t="shared" si="35"/>
        <v>http://www.biral.ch/fileadmin/Media/images/Planungstools/PumpStationSelector_DWG/NSZ-D_1250_4870_90_600_2P</v>
      </c>
      <c r="N518" s="382" t="str">
        <f t="shared" si="33"/>
        <v>NSZ-D_1250_4870_90_600_2P</v>
      </c>
      <c r="P518">
        <v>1000</v>
      </c>
      <c r="Q518" s="388">
        <v>5.19</v>
      </c>
      <c r="R518" s="446">
        <v>5.25</v>
      </c>
    </row>
    <row r="519" spans="11:18" x14ac:dyDescent="0.25">
      <c r="K519" s="382" t="str">
        <f t="shared" si="34"/>
        <v>NSZ-D_1250_5120_90_600_2P</v>
      </c>
      <c r="L519" s="384" t="str">
        <f>Sprachen!$E$266</f>
        <v>nessuno</v>
      </c>
      <c r="M519" s="432" t="str">
        <f t="shared" si="35"/>
        <v>http://www.biral.ch/fileadmin/Media/images/Planungstools/PumpStationSelector_DWG/NSZ-D_1250_5120_90_600_2P</v>
      </c>
      <c r="N519" s="382" t="str">
        <f t="shared" si="33"/>
        <v>NSZ-D_1250_5120_90_600_2P</v>
      </c>
      <c r="P519">
        <v>1000</v>
      </c>
      <c r="Q519" s="388">
        <v>5.2</v>
      </c>
      <c r="R519" s="446">
        <v>5.25</v>
      </c>
    </row>
    <row r="520" spans="11:18" x14ac:dyDescent="0.25">
      <c r="K520" s="382" t="str">
        <f t="shared" si="34"/>
        <v>NSZ-D_1250_5370_90_600_2P</v>
      </c>
      <c r="L520" s="384" t="str">
        <f>Sprachen!$E$266</f>
        <v>nessuno</v>
      </c>
      <c r="M520" s="432" t="str">
        <f t="shared" si="35"/>
        <v>http://www.biral.ch/fileadmin/Media/images/Planungstools/PumpStationSelector_DWG/NSZ-D_1250_5370_90_600_2P</v>
      </c>
      <c r="N520" s="382" t="str">
        <f t="shared" si="33"/>
        <v>NSZ-D_1250_5370_90_600_2P</v>
      </c>
      <c r="P520">
        <v>1000</v>
      </c>
      <c r="Q520" s="388">
        <v>5.21</v>
      </c>
      <c r="R520" s="446">
        <v>5.25</v>
      </c>
    </row>
    <row r="521" spans="11:18" x14ac:dyDescent="0.25">
      <c r="K521" s="382" t="str">
        <f t="shared" si="34"/>
        <v>NSZ-D_1250_5620_90_600_2P</v>
      </c>
      <c r="L521" s="384" t="str">
        <f>Sprachen!$E$266</f>
        <v>nessuno</v>
      </c>
      <c r="M521" s="432" t="str">
        <f t="shared" si="35"/>
        <v>http://www.biral.ch/fileadmin/Media/images/Planungstools/PumpStationSelector_DWG/NSZ-D_1250_5620_90_600_2P</v>
      </c>
      <c r="N521" s="382" t="str">
        <f t="shared" si="33"/>
        <v>NSZ-D_1250_5620_90_600_2P</v>
      </c>
      <c r="P521">
        <v>1000</v>
      </c>
      <c r="Q521" s="388">
        <v>5.22</v>
      </c>
      <c r="R521" s="446">
        <v>5.25</v>
      </c>
    </row>
    <row r="522" spans="11:18" x14ac:dyDescent="0.25">
      <c r="K522" s="382" t="str">
        <f t="shared" si="34"/>
        <v>NSZ-D_1250_5870_90_600_2P</v>
      </c>
      <c r="L522" s="384" t="str">
        <f>Sprachen!$E$266</f>
        <v>nessuno</v>
      </c>
      <c r="M522" s="432" t="str">
        <f t="shared" si="35"/>
        <v>http://www.biral.ch/fileadmin/Media/images/Planungstools/PumpStationSelector_DWG/NSZ-D_1250_5870_90_600_2P</v>
      </c>
      <c r="N522" s="382" t="str">
        <f t="shared" si="33"/>
        <v>NSZ-D_1250_5870_90_600_2P</v>
      </c>
      <c r="P522">
        <v>1000</v>
      </c>
      <c r="Q522" s="388">
        <v>5.23</v>
      </c>
      <c r="R522" s="446">
        <v>5.25</v>
      </c>
    </row>
    <row r="523" spans="11:18" x14ac:dyDescent="0.25">
      <c r="K523" s="382" t="str">
        <f t="shared" ref="K523:K541" si="36">$F$157&amp;"_"&amp;C158&amp;$E$158&amp;"_600"&amp;$F$158</f>
        <v>PBS_1500_1500_63_600_1P</v>
      </c>
      <c r="L523" s="384" t="str">
        <f>Sprachen!$E$266</f>
        <v>nessuno</v>
      </c>
      <c r="M523" s="432" t="str">
        <f t="shared" si="35"/>
        <v>http://www.biral.ch/fileadmin/Media/images/Planungstools/PumpStationSelector_DWG/PBS_1500_1500_63_600_1P</v>
      </c>
      <c r="N523" s="382" t="str">
        <f t="shared" si="33"/>
        <v>PBS_1500_1500_63_600_1P</v>
      </c>
      <c r="P523">
        <v>1000</v>
      </c>
      <c r="Q523" s="388">
        <v>5.24</v>
      </c>
      <c r="R523" s="446">
        <v>5.25</v>
      </c>
    </row>
    <row r="524" spans="11:18" x14ac:dyDescent="0.25">
      <c r="K524" s="382" t="str">
        <f t="shared" si="36"/>
        <v>PBS_1500_1750_63_600_1P</v>
      </c>
      <c r="L524" s="384" t="str">
        <f>Sprachen!$E$266</f>
        <v>nessuno</v>
      </c>
      <c r="M524" s="432" t="str">
        <f t="shared" si="35"/>
        <v>http://www.biral.ch/fileadmin/Media/images/Planungstools/PumpStationSelector_DWG/PBS_1500_1750_63_600_1P</v>
      </c>
      <c r="N524" s="382" t="str">
        <f t="shared" si="33"/>
        <v>PBS_1500_1750_63_600_1P</v>
      </c>
      <c r="P524">
        <v>1000</v>
      </c>
      <c r="Q524" s="388">
        <v>5.25</v>
      </c>
      <c r="R524" s="446">
        <v>5.25</v>
      </c>
    </row>
    <row r="525" spans="11:18" x14ac:dyDescent="0.25">
      <c r="K525" s="382" t="str">
        <f t="shared" si="36"/>
        <v>PBS_1500_2000_63_600_1P</v>
      </c>
      <c r="L525" s="384" t="str">
        <f>Sprachen!$E$266</f>
        <v>nessuno</v>
      </c>
      <c r="M525" s="432" t="str">
        <f t="shared" si="35"/>
        <v>http://www.biral.ch/fileadmin/Media/images/Planungstools/PumpStationSelector_DWG/PBS_1500_2000_63_600_1P</v>
      </c>
      <c r="N525" s="382" t="str">
        <f t="shared" si="33"/>
        <v>PBS_1500_2000_63_600_1P</v>
      </c>
      <c r="P525">
        <v>1000</v>
      </c>
      <c r="Q525" s="388">
        <v>5.26</v>
      </c>
      <c r="R525" s="446">
        <v>5.25</v>
      </c>
    </row>
    <row r="526" spans="11:18" x14ac:dyDescent="0.25">
      <c r="K526" s="382" t="str">
        <f t="shared" si="36"/>
        <v>PBS_1500_2250_63_600_1P</v>
      </c>
      <c r="L526" s="384" t="str">
        <f>Sprachen!$E$266</f>
        <v>nessuno</v>
      </c>
      <c r="M526" s="432" t="str">
        <f t="shared" si="35"/>
        <v>http://www.biral.ch/fileadmin/Media/images/Planungstools/PumpStationSelector_DWG/PBS_1500_2250_63_600_1P</v>
      </c>
      <c r="N526" s="382" t="str">
        <f t="shared" si="33"/>
        <v>PBS_1500_2250_63_600_1P</v>
      </c>
      <c r="P526">
        <v>1000</v>
      </c>
      <c r="Q526" s="388">
        <v>5.27</v>
      </c>
      <c r="R526" s="446">
        <v>5.25</v>
      </c>
    </row>
    <row r="527" spans="11:18" x14ac:dyDescent="0.25">
      <c r="K527" s="382" t="str">
        <f t="shared" si="36"/>
        <v>PBS_1500_2500_63_600_1P</v>
      </c>
      <c r="L527" s="384" t="str">
        <f>Sprachen!$E$266</f>
        <v>nessuno</v>
      </c>
      <c r="M527" s="432" t="str">
        <f t="shared" si="35"/>
        <v>http://www.biral.ch/fileadmin/Media/images/Planungstools/PumpStationSelector_DWG/PBS_1500_2500_63_600_1P</v>
      </c>
      <c r="N527" s="382" t="str">
        <f t="shared" si="33"/>
        <v>PBS_1500_2500_63_600_1P</v>
      </c>
      <c r="P527">
        <v>1000</v>
      </c>
      <c r="Q527" s="388">
        <v>5.28</v>
      </c>
      <c r="R527" s="446">
        <v>5.25</v>
      </c>
    </row>
    <row r="528" spans="11:18" x14ac:dyDescent="0.25">
      <c r="K528" s="382" t="str">
        <f t="shared" si="36"/>
        <v>PBS_1500_2750_63_600_1P</v>
      </c>
      <c r="L528" s="384" t="str">
        <f>Sprachen!$E$266</f>
        <v>nessuno</v>
      </c>
      <c r="M528" s="432" t="str">
        <f t="shared" si="35"/>
        <v>http://www.biral.ch/fileadmin/Media/images/Planungstools/PumpStationSelector_DWG/PBS_1500_2750_63_600_1P</v>
      </c>
      <c r="N528" s="382" t="str">
        <f t="shared" si="33"/>
        <v>PBS_1500_2750_63_600_1P</v>
      </c>
      <c r="P528">
        <v>1000</v>
      </c>
      <c r="Q528" s="388">
        <v>5.29</v>
      </c>
      <c r="R528" s="446">
        <v>5.25</v>
      </c>
    </row>
    <row r="529" spans="11:18" x14ac:dyDescent="0.25">
      <c r="K529" s="382" t="str">
        <f t="shared" si="36"/>
        <v>PBS_1500_3000_63_600_1P</v>
      </c>
      <c r="L529" s="384" t="str">
        <f>Sprachen!$E$266</f>
        <v>nessuno</v>
      </c>
      <c r="M529" s="432" t="str">
        <f t="shared" si="35"/>
        <v>http://www.biral.ch/fileadmin/Media/images/Planungstools/PumpStationSelector_DWG/PBS_1500_3000_63_600_1P</v>
      </c>
      <c r="N529" s="382" t="str">
        <f t="shared" si="33"/>
        <v>PBS_1500_3000_63_600_1P</v>
      </c>
      <c r="P529">
        <v>1000</v>
      </c>
      <c r="Q529" s="388">
        <v>5.3</v>
      </c>
      <c r="R529" s="446">
        <v>5.25</v>
      </c>
    </row>
    <row r="530" spans="11:18" x14ac:dyDescent="0.25">
      <c r="K530" s="382" t="str">
        <f t="shared" si="36"/>
        <v>PBS_1500_3250_63_600_1P</v>
      </c>
      <c r="L530" s="384" t="str">
        <f>Sprachen!$E$266</f>
        <v>nessuno</v>
      </c>
      <c r="M530" s="432" t="str">
        <f t="shared" si="35"/>
        <v>http://www.biral.ch/fileadmin/Media/images/Planungstools/PumpStationSelector_DWG/PBS_1500_3250_63_600_1P</v>
      </c>
      <c r="N530" s="382" t="str">
        <f t="shared" si="33"/>
        <v>PBS_1500_3250_63_600_1P</v>
      </c>
      <c r="P530">
        <v>1000</v>
      </c>
      <c r="Q530" s="388">
        <v>5.31</v>
      </c>
      <c r="R530" s="446">
        <v>5.25</v>
      </c>
    </row>
    <row r="531" spans="11:18" x14ac:dyDescent="0.25">
      <c r="K531" s="382" t="str">
        <f t="shared" si="36"/>
        <v>PBS_1500_3500_63_600_1P</v>
      </c>
      <c r="L531" s="384" t="str">
        <f>Sprachen!$E$266</f>
        <v>nessuno</v>
      </c>
      <c r="M531" s="432" t="str">
        <f t="shared" si="35"/>
        <v>http://www.biral.ch/fileadmin/Media/images/Planungstools/PumpStationSelector_DWG/PBS_1500_3500_63_600_1P</v>
      </c>
      <c r="N531" s="382" t="str">
        <f t="shared" si="33"/>
        <v>PBS_1500_3500_63_600_1P</v>
      </c>
      <c r="P531">
        <v>1000</v>
      </c>
      <c r="Q531" s="388">
        <v>5.32</v>
      </c>
      <c r="R531" s="446">
        <v>5.25</v>
      </c>
    </row>
    <row r="532" spans="11:18" x14ac:dyDescent="0.25">
      <c r="K532" s="382" t="str">
        <f t="shared" si="36"/>
        <v>PBS_1500_3750_63_600_1P</v>
      </c>
      <c r="L532" s="384" t="str">
        <f>Sprachen!$E$266</f>
        <v>nessuno</v>
      </c>
      <c r="M532" s="432" t="str">
        <f t="shared" si="35"/>
        <v>http://www.biral.ch/fileadmin/Media/images/Planungstools/PumpStationSelector_DWG/PBS_1500_3750_63_600_1P</v>
      </c>
      <c r="N532" s="382" t="str">
        <f t="shared" si="33"/>
        <v>PBS_1500_3750_63_600_1P</v>
      </c>
      <c r="P532">
        <v>1000</v>
      </c>
      <c r="Q532" s="388">
        <v>5.33</v>
      </c>
      <c r="R532" s="446">
        <v>5.25</v>
      </c>
    </row>
    <row r="533" spans="11:18" x14ac:dyDescent="0.25">
      <c r="K533" s="382" t="str">
        <f t="shared" si="36"/>
        <v>PBS_1500_4000_63_600_1P</v>
      </c>
      <c r="L533" s="384" t="str">
        <f>Sprachen!$E$266</f>
        <v>nessuno</v>
      </c>
      <c r="M533" s="432" t="str">
        <f t="shared" si="35"/>
        <v>http://www.biral.ch/fileadmin/Media/images/Planungstools/PumpStationSelector_DWG/PBS_1500_4000_63_600_1P</v>
      </c>
      <c r="N533" s="382" t="str">
        <f t="shared" si="33"/>
        <v>PBS_1500_4000_63_600_1P</v>
      </c>
      <c r="P533">
        <v>1000</v>
      </c>
      <c r="Q533" s="388">
        <v>5.34</v>
      </c>
      <c r="R533" s="446">
        <v>5.25</v>
      </c>
    </row>
    <row r="534" spans="11:18" x14ac:dyDescent="0.25">
      <c r="K534" s="382" t="str">
        <f t="shared" si="36"/>
        <v>PBS_1500_4250_63_600_1P</v>
      </c>
      <c r="L534" s="384" t="str">
        <f>Sprachen!$E$266</f>
        <v>nessuno</v>
      </c>
      <c r="M534" s="432" t="str">
        <f t="shared" si="35"/>
        <v>http://www.biral.ch/fileadmin/Media/images/Planungstools/PumpStationSelector_DWG/PBS_1500_4250_63_600_1P</v>
      </c>
      <c r="N534" s="382" t="str">
        <f t="shared" si="33"/>
        <v>PBS_1500_4250_63_600_1P</v>
      </c>
      <c r="P534">
        <v>1000</v>
      </c>
      <c r="Q534" s="388">
        <v>5.35</v>
      </c>
      <c r="R534" s="446">
        <v>5.25</v>
      </c>
    </row>
    <row r="535" spans="11:18" x14ac:dyDescent="0.25">
      <c r="K535" s="382" t="str">
        <f t="shared" si="36"/>
        <v>PBS_1500_4500_63_600_1P</v>
      </c>
      <c r="L535" s="384" t="str">
        <f>Sprachen!$E$266</f>
        <v>nessuno</v>
      </c>
      <c r="M535" s="432" t="str">
        <f t="shared" si="35"/>
        <v>http://www.biral.ch/fileadmin/Media/images/Planungstools/PumpStationSelector_DWG/PBS_1500_4500_63_600_1P</v>
      </c>
      <c r="N535" s="382" t="str">
        <f t="shared" si="33"/>
        <v>PBS_1500_4500_63_600_1P</v>
      </c>
      <c r="P535">
        <v>1000</v>
      </c>
      <c r="Q535" s="388">
        <v>5.36</v>
      </c>
      <c r="R535" s="446">
        <v>5.5</v>
      </c>
    </row>
    <row r="536" spans="11:18" x14ac:dyDescent="0.25">
      <c r="K536" s="382" t="str">
        <f t="shared" si="36"/>
        <v>PBS_1500_4750_63_600_1P</v>
      </c>
      <c r="L536" s="384" t="str">
        <f>Sprachen!$E$266</f>
        <v>nessuno</v>
      </c>
      <c r="M536" s="432" t="str">
        <f t="shared" si="35"/>
        <v>http://www.biral.ch/fileadmin/Media/images/Planungstools/PumpStationSelector_DWG/PBS_1500_4750_63_600_1P</v>
      </c>
      <c r="N536" s="382" t="str">
        <f t="shared" si="33"/>
        <v>PBS_1500_4750_63_600_1P</v>
      </c>
      <c r="P536">
        <v>1000</v>
      </c>
      <c r="Q536" s="388">
        <v>5.37</v>
      </c>
      <c r="R536" s="446">
        <v>5.5</v>
      </c>
    </row>
    <row r="537" spans="11:18" x14ac:dyDescent="0.25">
      <c r="K537" s="382" t="str">
        <f t="shared" si="36"/>
        <v>PBS_1500_5000_63_600_1P</v>
      </c>
      <c r="L537" s="384" t="str">
        <f>Sprachen!$E$266</f>
        <v>nessuno</v>
      </c>
      <c r="M537" s="432" t="str">
        <f t="shared" si="35"/>
        <v>http://www.biral.ch/fileadmin/Media/images/Planungstools/PumpStationSelector_DWG/PBS_1500_5000_63_600_1P</v>
      </c>
      <c r="N537" s="382" t="str">
        <f t="shared" si="33"/>
        <v>PBS_1500_5000_63_600_1P</v>
      </c>
      <c r="P537">
        <v>1000</v>
      </c>
      <c r="Q537" s="388">
        <v>5.38</v>
      </c>
      <c r="R537" s="446">
        <v>5.5</v>
      </c>
    </row>
    <row r="538" spans="11:18" x14ac:dyDescent="0.25">
      <c r="K538" s="382" t="str">
        <f t="shared" si="36"/>
        <v>PBS_1500_5250_63_600_1P</v>
      </c>
      <c r="L538" s="384" t="str">
        <f>Sprachen!$E$266</f>
        <v>nessuno</v>
      </c>
      <c r="M538" s="432" t="str">
        <f t="shared" si="35"/>
        <v>http://www.biral.ch/fileadmin/Media/images/Planungstools/PumpStationSelector_DWG/PBS_1500_5250_63_600_1P</v>
      </c>
      <c r="N538" s="382" t="str">
        <f t="shared" si="33"/>
        <v>PBS_1500_5250_63_600_1P</v>
      </c>
      <c r="P538">
        <v>1000</v>
      </c>
      <c r="Q538" s="388">
        <v>5.39</v>
      </c>
      <c r="R538" s="446">
        <v>5.5</v>
      </c>
    </row>
    <row r="539" spans="11:18" x14ac:dyDescent="0.25">
      <c r="K539" s="382" t="str">
        <f t="shared" si="36"/>
        <v>PBS_1500_5500_63_600_1P</v>
      </c>
      <c r="L539" s="384" t="str">
        <f>Sprachen!$E$266</f>
        <v>nessuno</v>
      </c>
      <c r="M539" s="432" t="str">
        <f t="shared" si="35"/>
        <v>http://www.biral.ch/fileadmin/Media/images/Planungstools/PumpStationSelector_DWG/PBS_1500_5500_63_600_1P</v>
      </c>
      <c r="N539" s="382" t="str">
        <f t="shared" si="33"/>
        <v>PBS_1500_5500_63_600_1P</v>
      </c>
      <c r="P539">
        <v>1000</v>
      </c>
      <c r="Q539" s="388">
        <v>5.4</v>
      </c>
      <c r="R539" s="446">
        <v>5.5</v>
      </c>
    </row>
    <row r="540" spans="11:18" x14ac:dyDescent="0.25">
      <c r="K540" s="382" t="str">
        <f t="shared" si="36"/>
        <v>PBS_1500_5750_63_600_1P</v>
      </c>
      <c r="L540" s="384" t="str">
        <f>Sprachen!$E$266</f>
        <v>nessuno</v>
      </c>
      <c r="M540" s="432" t="str">
        <f t="shared" si="35"/>
        <v>http://www.biral.ch/fileadmin/Media/images/Planungstools/PumpStationSelector_DWG/PBS_1500_5750_63_600_1P</v>
      </c>
      <c r="N540" s="382" t="str">
        <f t="shared" si="33"/>
        <v>PBS_1500_5750_63_600_1P</v>
      </c>
      <c r="P540">
        <v>1000</v>
      </c>
      <c r="Q540" s="388">
        <v>5.41</v>
      </c>
      <c r="R540" s="446">
        <v>5.5</v>
      </c>
    </row>
    <row r="541" spans="11:18" x14ac:dyDescent="0.25">
      <c r="K541" s="382" t="str">
        <f t="shared" si="36"/>
        <v>PBS_1500_6000_63_600_1P</v>
      </c>
      <c r="L541" s="384" t="str">
        <f>Sprachen!$E$266</f>
        <v>nessuno</v>
      </c>
      <c r="M541" s="432" t="str">
        <f t="shared" si="35"/>
        <v>http://www.biral.ch/fileadmin/Media/images/Planungstools/PumpStationSelector_DWG/PBS_1500_6000_63_600_1P</v>
      </c>
      <c r="N541" s="382" t="str">
        <f t="shared" si="33"/>
        <v>PBS_1500_6000_63_600_1P</v>
      </c>
      <c r="P541">
        <v>1000</v>
      </c>
      <c r="Q541" s="388">
        <v>5.42</v>
      </c>
      <c r="R541" s="446">
        <v>5.5</v>
      </c>
    </row>
    <row r="542" spans="11:18" x14ac:dyDescent="0.25">
      <c r="K542" s="382" t="str">
        <f t="shared" ref="K542:K560" si="37">$F$157&amp;"_"&amp;C158&amp;$E$159&amp;"_600"&amp;$F$158</f>
        <v>PBS_1500_1500_75_600_1P</v>
      </c>
      <c r="L542" s="384" t="str">
        <f>Sprachen!$E$266</f>
        <v>nessuno</v>
      </c>
      <c r="M542" s="432" t="str">
        <f t="shared" si="35"/>
        <v>http://www.biral.ch/fileadmin/Media/images/Planungstools/PumpStationSelector_DWG/PBS_1500_1500_75_600_1P</v>
      </c>
      <c r="N542" s="382" t="str">
        <f t="shared" si="33"/>
        <v>PBS_1500_1500_75_600_1P</v>
      </c>
      <c r="P542">
        <v>1000</v>
      </c>
      <c r="Q542" s="388">
        <v>5.43</v>
      </c>
      <c r="R542" s="446">
        <v>5.5</v>
      </c>
    </row>
    <row r="543" spans="11:18" x14ac:dyDescent="0.25">
      <c r="K543" s="382" t="str">
        <f t="shared" si="37"/>
        <v>PBS_1500_1750_75_600_1P</v>
      </c>
      <c r="L543" s="384" t="str">
        <f>Sprachen!$E$266</f>
        <v>nessuno</v>
      </c>
      <c r="M543" s="432" t="str">
        <f t="shared" si="35"/>
        <v>http://www.biral.ch/fileadmin/Media/images/Planungstools/PumpStationSelector_DWG/PBS_1500_1750_75_600_1P</v>
      </c>
      <c r="N543" s="382" t="str">
        <f t="shared" si="33"/>
        <v>PBS_1500_1750_75_600_1P</v>
      </c>
      <c r="P543">
        <v>1000</v>
      </c>
      <c r="Q543" s="388">
        <v>5.44</v>
      </c>
      <c r="R543" s="446">
        <v>5.5</v>
      </c>
    </row>
    <row r="544" spans="11:18" x14ac:dyDescent="0.25">
      <c r="K544" s="382" t="str">
        <f t="shared" si="37"/>
        <v>PBS_1500_2000_75_600_1P</v>
      </c>
      <c r="L544" s="384" t="str">
        <f>Sprachen!$E$266</f>
        <v>nessuno</v>
      </c>
      <c r="M544" s="432" t="str">
        <f t="shared" si="35"/>
        <v>http://www.biral.ch/fileadmin/Media/images/Planungstools/PumpStationSelector_DWG/PBS_1500_2000_75_600_1P</v>
      </c>
      <c r="N544" s="382" t="str">
        <f t="shared" si="33"/>
        <v>PBS_1500_2000_75_600_1P</v>
      </c>
      <c r="P544">
        <v>1000</v>
      </c>
      <c r="Q544" s="388">
        <v>5.45</v>
      </c>
      <c r="R544" s="446">
        <v>5.5</v>
      </c>
    </row>
    <row r="545" spans="11:18" x14ac:dyDescent="0.25">
      <c r="K545" s="382" t="str">
        <f t="shared" si="37"/>
        <v>PBS_1500_2250_75_600_1P</v>
      </c>
      <c r="L545" s="384" t="str">
        <f>Sprachen!$E$266</f>
        <v>nessuno</v>
      </c>
      <c r="M545" s="432" t="str">
        <f t="shared" si="35"/>
        <v>http://www.biral.ch/fileadmin/Media/images/Planungstools/PumpStationSelector_DWG/PBS_1500_2250_75_600_1P</v>
      </c>
      <c r="N545" s="382" t="str">
        <f t="shared" si="33"/>
        <v>PBS_1500_2250_75_600_1P</v>
      </c>
      <c r="P545">
        <v>1000</v>
      </c>
      <c r="Q545" s="388">
        <v>5.46</v>
      </c>
      <c r="R545" s="446">
        <v>5.5</v>
      </c>
    </row>
    <row r="546" spans="11:18" x14ac:dyDescent="0.25">
      <c r="K546" s="382" t="str">
        <f t="shared" si="37"/>
        <v>PBS_1500_2500_75_600_1P</v>
      </c>
      <c r="L546" s="384" t="str">
        <f>Sprachen!$E$266</f>
        <v>nessuno</v>
      </c>
      <c r="M546" s="432" t="str">
        <f t="shared" si="35"/>
        <v>http://www.biral.ch/fileadmin/Media/images/Planungstools/PumpStationSelector_DWG/PBS_1500_2500_75_600_1P</v>
      </c>
      <c r="N546" s="382" t="str">
        <f t="shared" si="33"/>
        <v>PBS_1500_2500_75_600_1P</v>
      </c>
      <c r="P546">
        <v>1000</v>
      </c>
      <c r="Q546" s="388">
        <v>5.47</v>
      </c>
      <c r="R546" s="446">
        <v>5.5</v>
      </c>
    </row>
    <row r="547" spans="11:18" x14ac:dyDescent="0.25">
      <c r="K547" s="382" t="str">
        <f t="shared" si="37"/>
        <v>PBS_1500_2750_75_600_1P</v>
      </c>
      <c r="L547" s="384" t="str">
        <f>Sprachen!$E$266</f>
        <v>nessuno</v>
      </c>
      <c r="M547" s="432" t="str">
        <f t="shared" si="35"/>
        <v>http://www.biral.ch/fileadmin/Media/images/Planungstools/PumpStationSelector_DWG/PBS_1500_2750_75_600_1P</v>
      </c>
      <c r="N547" s="382" t="str">
        <f t="shared" si="33"/>
        <v>PBS_1500_2750_75_600_1P</v>
      </c>
      <c r="P547">
        <v>1000</v>
      </c>
      <c r="Q547" s="388">
        <v>5.48</v>
      </c>
      <c r="R547" s="446">
        <v>5.5</v>
      </c>
    </row>
    <row r="548" spans="11:18" x14ac:dyDescent="0.25">
      <c r="K548" s="382" t="str">
        <f t="shared" si="37"/>
        <v>PBS_1500_3000_75_600_1P</v>
      </c>
      <c r="L548" s="384" t="str">
        <f>Sprachen!$E$266</f>
        <v>nessuno</v>
      </c>
      <c r="M548" s="432" t="str">
        <f t="shared" si="35"/>
        <v>http://www.biral.ch/fileadmin/Media/images/Planungstools/PumpStationSelector_DWG/PBS_1500_3000_75_600_1P</v>
      </c>
      <c r="N548" s="382" t="str">
        <f t="shared" si="33"/>
        <v>PBS_1500_3000_75_600_1P</v>
      </c>
      <c r="P548">
        <v>1000</v>
      </c>
      <c r="Q548" s="388">
        <v>5.49</v>
      </c>
      <c r="R548" s="446">
        <v>5.5</v>
      </c>
    </row>
    <row r="549" spans="11:18" x14ac:dyDescent="0.25">
      <c r="K549" s="382" t="str">
        <f t="shared" si="37"/>
        <v>PBS_1500_3250_75_600_1P</v>
      </c>
      <c r="L549" s="384" t="str">
        <f>Sprachen!$E$266</f>
        <v>nessuno</v>
      </c>
      <c r="M549" s="432" t="str">
        <f t="shared" si="35"/>
        <v>http://www.biral.ch/fileadmin/Media/images/Planungstools/PumpStationSelector_DWG/PBS_1500_3250_75_600_1P</v>
      </c>
      <c r="N549" s="382" t="str">
        <f t="shared" si="33"/>
        <v>PBS_1500_3250_75_600_1P</v>
      </c>
      <c r="P549">
        <v>1000</v>
      </c>
      <c r="Q549" s="388">
        <v>5.5</v>
      </c>
      <c r="R549" s="446">
        <v>5.5</v>
      </c>
    </row>
    <row r="550" spans="11:18" x14ac:dyDescent="0.25">
      <c r="K550" s="382" t="str">
        <f t="shared" si="37"/>
        <v>PBS_1500_3500_75_600_1P</v>
      </c>
      <c r="L550" s="384" t="str">
        <f>Sprachen!$E$266</f>
        <v>nessuno</v>
      </c>
      <c r="M550" s="432" t="str">
        <f t="shared" si="35"/>
        <v>http://www.biral.ch/fileadmin/Media/images/Planungstools/PumpStationSelector_DWG/PBS_1500_3500_75_600_1P</v>
      </c>
      <c r="N550" s="382" t="str">
        <f t="shared" si="33"/>
        <v>PBS_1500_3500_75_600_1P</v>
      </c>
      <c r="P550">
        <v>1000</v>
      </c>
      <c r="Q550" s="388">
        <v>5.51</v>
      </c>
      <c r="R550" s="446">
        <v>5.5</v>
      </c>
    </row>
    <row r="551" spans="11:18" x14ac:dyDescent="0.25">
      <c r="K551" s="382" t="str">
        <f t="shared" si="37"/>
        <v>PBS_1500_3750_75_600_1P</v>
      </c>
      <c r="L551" s="384" t="str">
        <f>Sprachen!$E$266</f>
        <v>nessuno</v>
      </c>
      <c r="M551" s="432" t="str">
        <f t="shared" si="35"/>
        <v>http://www.biral.ch/fileadmin/Media/images/Planungstools/PumpStationSelector_DWG/PBS_1500_3750_75_600_1P</v>
      </c>
      <c r="N551" s="382" t="str">
        <f t="shared" si="33"/>
        <v>PBS_1500_3750_75_600_1P</v>
      </c>
      <c r="P551">
        <v>1000</v>
      </c>
      <c r="Q551" s="388">
        <v>5.52</v>
      </c>
      <c r="R551" s="446">
        <v>5.5</v>
      </c>
    </row>
    <row r="552" spans="11:18" x14ac:dyDescent="0.25">
      <c r="K552" s="382" t="str">
        <f t="shared" si="37"/>
        <v>PBS_1500_4000_75_600_1P</v>
      </c>
      <c r="L552" s="384" t="str">
        <f>Sprachen!$E$266</f>
        <v>nessuno</v>
      </c>
      <c r="M552" s="432" t="str">
        <f t="shared" si="35"/>
        <v>http://www.biral.ch/fileadmin/Media/images/Planungstools/PumpStationSelector_DWG/PBS_1500_4000_75_600_1P</v>
      </c>
      <c r="N552" s="382" t="str">
        <f t="shared" si="33"/>
        <v>PBS_1500_4000_75_600_1P</v>
      </c>
      <c r="P552">
        <v>1000</v>
      </c>
      <c r="Q552" s="388">
        <v>5.53</v>
      </c>
      <c r="R552" s="446">
        <v>5.5</v>
      </c>
    </row>
    <row r="553" spans="11:18" x14ac:dyDescent="0.25">
      <c r="K553" s="382" t="str">
        <f t="shared" si="37"/>
        <v>PBS_1500_4250_75_600_1P</v>
      </c>
      <c r="L553" s="384" t="str">
        <f>Sprachen!$E$266</f>
        <v>nessuno</v>
      </c>
      <c r="M553" s="432" t="str">
        <f t="shared" si="35"/>
        <v>http://www.biral.ch/fileadmin/Media/images/Planungstools/PumpStationSelector_DWG/PBS_1500_4250_75_600_1P</v>
      </c>
      <c r="N553" s="382" t="str">
        <f t="shared" si="33"/>
        <v>PBS_1500_4250_75_600_1P</v>
      </c>
      <c r="P553">
        <v>1000</v>
      </c>
      <c r="Q553" s="388">
        <v>5.54</v>
      </c>
      <c r="R553" s="446">
        <v>5.5</v>
      </c>
    </row>
    <row r="554" spans="11:18" x14ac:dyDescent="0.25">
      <c r="K554" s="382" t="str">
        <f t="shared" si="37"/>
        <v>PBS_1500_4500_75_600_1P</v>
      </c>
      <c r="L554" s="384" t="str">
        <f>Sprachen!$E$266</f>
        <v>nessuno</v>
      </c>
      <c r="M554" s="432" t="str">
        <f t="shared" si="35"/>
        <v>http://www.biral.ch/fileadmin/Media/images/Planungstools/PumpStationSelector_DWG/PBS_1500_4500_75_600_1P</v>
      </c>
      <c r="N554" s="382" t="str">
        <f t="shared" si="33"/>
        <v>PBS_1500_4500_75_600_1P</v>
      </c>
      <c r="P554">
        <v>1000</v>
      </c>
      <c r="Q554" s="388">
        <v>5.55</v>
      </c>
      <c r="R554" s="446">
        <v>5.5</v>
      </c>
    </row>
    <row r="555" spans="11:18" x14ac:dyDescent="0.25">
      <c r="K555" s="382" t="str">
        <f t="shared" si="37"/>
        <v>PBS_1500_4750_75_600_1P</v>
      </c>
      <c r="L555" s="384" t="str">
        <f>Sprachen!$E$266</f>
        <v>nessuno</v>
      </c>
      <c r="M555" s="432" t="str">
        <f t="shared" si="35"/>
        <v>http://www.biral.ch/fileadmin/Media/images/Planungstools/PumpStationSelector_DWG/PBS_1500_4750_75_600_1P</v>
      </c>
      <c r="N555" s="382" t="str">
        <f t="shared" si="33"/>
        <v>PBS_1500_4750_75_600_1P</v>
      </c>
      <c r="P555">
        <v>1000</v>
      </c>
      <c r="Q555" s="388">
        <v>5.56</v>
      </c>
      <c r="R555" s="446">
        <v>5.5</v>
      </c>
    </row>
    <row r="556" spans="11:18" x14ac:dyDescent="0.25">
      <c r="K556" s="382" t="str">
        <f t="shared" si="37"/>
        <v>PBS_1500_5000_75_600_1P</v>
      </c>
      <c r="L556" s="384" t="str">
        <f>Sprachen!$E$266</f>
        <v>nessuno</v>
      </c>
      <c r="M556" s="432" t="str">
        <f t="shared" si="35"/>
        <v>http://www.biral.ch/fileadmin/Media/images/Planungstools/PumpStationSelector_DWG/PBS_1500_5000_75_600_1P</v>
      </c>
      <c r="N556" s="382" t="str">
        <f t="shared" si="33"/>
        <v>PBS_1500_5000_75_600_1P</v>
      </c>
      <c r="P556">
        <v>1000</v>
      </c>
      <c r="Q556" s="388">
        <v>5.57</v>
      </c>
      <c r="R556" s="446">
        <v>5.5</v>
      </c>
    </row>
    <row r="557" spans="11:18" x14ac:dyDescent="0.25">
      <c r="K557" s="382" t="str">
        <f t="shared" si="37"/>
        <v>PBS_1500_5250_75_600_1P</v>
      </c>
      <c r="L557" s="384" t="str">
        <f>Sprachen!$E$266</f>
        <v>nessuno</v>
      </c>
      <c r="M557" s="432" t="str">
        <f t="shared" si="35"/>
        <v>http://www.biral.ch/fileadmin/Media/images/Planungstools/PumpStationSelector_DWG/PBS_1500_5250_75_600_1P</v>
      </c>
      <c r="N557" s="382" t="str">
        <f t="shared" si="33"/>
        <v>PBS_1500_5250_75_600_1P</v>
      </c>
      <c r="P557">
        <v>1000</v>
      </c>
      <c r="Q557" s="388">
        <v>5.58</v>
      </c>
      <c r="R557" s="446">
        <v>5.5</v>
      </c>
    </row>
    <row r="558" spans="11:18" x14ac:dyDescent="0.25">
      <c r="K558" s="382" t="str">
        <f t="shared" si="37"/>
        <v>PBS_1500_5500_75_600_1P</v>
      </c>
      <c r="L558" s="384" t="str">
        <f>Sprachen!$E$266</f>
        <v>nessuno</v>
      </c>
      <c r="M558" s="432" t="str">
        <f t="shared" si="35"/>
        <v>http://www.biral.ch/fileadmin/Media/images/Planungstools/PumpStationSelector_DWG/PBS_1500_5500_75_600_1P</v>
      </c>
      <c r="N558" s="382" t="str">
        <f t="shared" si="33"/>
        <v>PBS_1500_5500_75_600_1P</v>
      </c>
      <c r="P558">
        <v>1000</v>
      </c>
      <c r="Q558" s="388">
        <v>5.59</v>
      </c>
      <c r="R558" s="446">
        <v>5.5</v>
      </c>
    </row>
    <row r="559" spans="11:18" x14ac:dyDescent="0.25">
      <c r="K559" s="382" t="str">
        <f t="shared" si="37"/>
        <v>PBS_1500_5750_75_600_1P</v>
      </c>
      <c r="L559" s="384" t="str">
        <f>Sprachen!$E$266</f>
        <v>nessuno</v>
      </c>
      <c r="M559" s="432" t="str">
        <f t="shared" si="35"/>
        <v>http://www.biral.ch/fileadmin/Media/images/Planungstools/PumpStationSelector_DWG/PBS_1500_5750_75_600_1P</v>
      </c>
      <c r="N559" s="382" t="str">
        <f t="shared" si="33"/>
        <v>PBS_1500_5750_75_600_1P</v>
      </c>
      <c r="P559">
        <v>1000</v>
      </c>
      <c r="Q559" s="388">
        <v>5.6</v>
      </c>
      <c r="R559" s="446">
        <v>5.5</v>
      </c>
    </row>
    <row r="560" spans="11:18" x14ac:dyDescent="0.25">
      <c r="K560" s="382" t="str">
        <f t="shared" si="37"/>
        <v>PBS_1500_6000_75_600_1P</v>
      </c>
      <c r="L560" s="384" t="str">
        <f>Sprachen!$E$266</f>
        <v>nessuno</v>
      </c>
      <c r="M560" s="432" t="str">
        <f t="shared" si="35"/>
        <v>http://www.biral.ch/fileadmin/Media/images/Planungstools/PumpStationSelector_DWG/PBS_1500_6000_75_600_1P</v>
      </c>
      <c r="N560" s="382" t="str">
        <f t="shared" si="33"/>
        <v>PBS_1500_6000_75_600_1P</v>
      </c>
      <c r="Q560" s="388"/>
      <c r="R560" s="446"/>
    </row>
    <row r="561" spans="11:18" x14ac:dyDescent="0.25">
      <c r="K561" s="382" t="str">
        <f t="shared" ref="K561:K579" si="38">$F$157&amp;"_"&amp;C158&amp;$E$160&amp;"_600"&amp;$F$158</f>
        <v>PBS_1500_1500_90_600_1P</v>
      </c>
      <c r="L561" s="384" t="str">
        <f>Sprachen!$E$266</f>
        <v>nessuno</v>
      </c>
      <c r="M561" s="432" t="str">
        <f t="shared" si="35"/>
        <v>http://www.biral.ch/fileadmin/Media/images/Planungstools/PumpStationSelector_DWG/PBS_1500_1500_90_600_1P</v>
      </c>
      <c r="N561" s="382" t="str">
        <f t="shared" ref="N561:N624" si="39">K561</f>
        <v>PBS_1500_1500_90_600_1P</v>
      </c>
      <c r="Q561" s="388"/>
      <c r="R561" s="446"/>
    </row>
    <row r="562" spans="11:18" x14ac:dyDescent="0.25">
      <c r="K562" s="382" t="str">
        <f t="shared" si="38"/>
        <v>PBS_1500_1750_90_600_1P</v>
      </c>
      <c r="L562" s="384" t="str">
        <f>Sprachen!$E$266</f>
        <v>nessuno</v>
      </c>
      <c r="M562" s="432" t="str">
        <f t="shared" si="35"/>
        <v>http://www.biral.ch/fileadmin/Media/images/Planungstools/PumpStationSelector_DWG/PBS_1500_1750_90_600_1P</v>
      </c>
      <c r="N562" s="382" t="str">
        <f t="shared" si="39"/>
        <v>PBS_1500_1750_90_600_1P</v>
      </c>
      <c r="Q562" s="388"/>
      <c r="R562" s="446"/>
    </row>
    <row r="563" spans="11:18" x14ac:dyDescent="0.25">
      <c r="K563" s="382" t="str">
        <f t="shared" si="38"/>
        <v>PBS_1500_2000_90_600_1P</v>
      </c>
      <c r="L563" s="384" t="str">
        <f>Sprachen!$E$266</f>
        <v>nessuno</v>
      </c>
      <c r="M563" s="432" t="str">
        <f t="shared" si="35"/>
        <v>http://www.biral.ch/fileadmin/Media/images/Planungstools/PumpStationSelector_DWG/PBS_1500_2000_90_600_1P</v>
      </c>
      <c r="N563" s="382" t="str">
        <f t="shared" si="39"/>
        <v>PBS_1500_2000_90_600_1P</v>
      </c>
    </row>
    <row r="564" spans="11:18" x14ac:dyDescent="0.25">
      <c r="K564" s="382" t="str">
        <f t="shared" si="38"/>
        <v>PBS_1500_2250_90_600_1P</v>
      </c>
      <c r="L564" s="384" t="str">
        <f>Sprachen!$E$266</f>
        <v>nessuno</v>
      </c>
      <c r="M564" s="432" t="str">
        <f t="shared" si="35"/>
        <v>http://www.biral.ch/fileadmin/Media/images/Planungstools/PumpStationSelector_DWG/PBS_1500_2250_90_600_1P</v>
      </c>
      <c r="N564" s="382" t="str">
        <f t="shared" si="39"/>
        <v>PBS_1500_2250_90_600_1P</v>
      </c>
    </row>
    <row r="565" spans="11:18" x14ac:dyDescent="0.25">
      <c r="K565" s="382" t="str">
        <f t="shared" si="38"/>
        <v>PBS_1500_2500_90_600_1P</v>
      </c>
      <c r="L565" s="384" t="str">
        <f>Sprachen!$E$266</f>
        <v>nessuno</v>
      </c>
      <c r="M565" s="432" t="str">
        <f t="shared" si="35"/>
        <v>http://www.biral.ch/fileadmin/Media/images/Planungstools/PumpStationSelector_DWG/PBS_1500_2500_90_600_1P</v>
      </c>
      <c r="N565" s="382" t="str">
        <f t="shared" si="39"/>
        <v>PBS_1500_2500_90_600_1P</v>
      </c>
    </row>
    <row r="566" spans="11:18" x14ac:dyDescent="0.25">
      <c r="K566" s="382" t="str">
        <f t="shared" si="38"/>
        <v>PBS_1500_2750_90_600_1P</v>
      </c>
      <c r="L566" s="384" t="str">
        <f>Sprachen!$E$266</f>
        <v>nessuno</v>
      </c>
      <c r="M566" s="432" t="str">
        <f t="shared" si="35"/>
        <v>http://www.biral.ch/fileadmin/Media/images/Planungstools/PumpStationSelector_DWG/PBS_1500_2750_90_600_1P</v>
      </c>
      <c r="N566" s="382" t="str">
        <f t="shared" si="39"/>
        <v>PBS_1500_2750_90_600_1P</v>
      </c>
    </row>
    <row r="567" spans="11:18" x14ac:dyDescent="0.25">
      <c r="K567" s="382" t="str">
        <f t="shared" si="38"/>
        <v>PBS_1500_3000_90_600_1P</v>
      </c>
      <c r="L567" s="384" t="str">
        <f>Sprachen!$E$266</f>
        <v>nessuno</v>
      </c>
      <c r="M567" s="432" t="str">
        <f t="shared" si="35"/>
        <v>http://www.biral.ch/fileadmin/Media/images/Planungstools/PumpStationSelector_DWG/PBS_1500_3000_90_600_1P</v>
      </c>
      <c r="N567" s="382" t="str">
        <f t="shared" si="39"/>
        <v>PBS_1500_3000_90_600_1P</v>
      </c>
    </row>
    <row r="568" spans="11:18" x14ac:dyDescent="0.25">
      <c r="K568" s="382" t="str">
        <f t="shared" si="38"/>
        <v>PBS_1500_3250_90_600_1P</v>
      </c>
      <c r="L568" s="384" t="str">
        <f>Sprachen!$E$266</f>
        <v>nessuno</v>
      </c>
      <c r="M568" s="432" t="str">
        <f t="shared" si="35"/>
        <v>http://www.biral.ch/fileadmin/Media/images/Planungstools/PumpStationSelector_DWG/PBS_1500_3250_90_600_1P</v>
      </c>
      <c r="N568" s="382" t="str">
        <f t="shared" si="39"/>
        <v>PBS_1500_3250_90_600_1P</v>
      </c>
    </row>
    <row r="569" spans="11:18" x14ac:dyDescent="0.25">
      <c r="K569" s="382" t="str">
        <f t="shared" si="38"/>
        <v>PBS_1500_3500_90_600_1P</v>
      </c>
      <c r="L569" s="384" t="str">
        <f>Sprachen!$E$266</f>
        <v>nessuno</v>
      </c>
      <c r="M569" s="432" t="str">
        <f t="shared" si="35"/>
        <v>http://www.biral.ch/fileadmin/Media/images/Planungstools/PumpStationSelector_DWG/PBS_1500_3500_90_600_1P</v>
      </c>
      <c r="N569" s="382" t="str">
        <f t="shared" si="39"/>
        <v>PBS_1500_3500_90_600_1P</v>
      </c>
    </row>
    <row r="570" spans="11:18" x14ac:dyDescent="0.25">
      <c r="K570" s="382" t="str">
        <f t="shared" si="38"/>
        <v>PBS_1500_3750_90_600_1P</v>
      </c>
      <c r="L570" s="384" t="str">
        <f>Sprachen!$E$266</f>
        <v>nessuno</v>
      </c>
      <c r="M570" s="432" t="str">
        <f t="shared" si="35"/>
        <v>http://www.biral.ch/fileadmin/Media/images/Planungstools/PumpStationSelector_DWG/PBS_1500_3750_90_600_1P</v>
      </c>
      <c r="N570" s="382" t="str">
        <f t="shared" si="39"/>
        <v>PBS_1500_3750_90_600_1P</v>
      </c>
    </row>
    <row r="571" spans="11:18" x14ac:dyDescent="0.25">
      <c r="K571" s="382" t="str">
        <f t="shared" si="38"/>
        <v>PBS_1500_4000_90_600_1P</v>
      </c>
      <c r="L571" s="384" t="str">
        <f>Sprachen!$E$266</f>
        <v>nessuno</v>
      </c>
      <c r="M571" s="432" t="str">
        <f t="shared" si="35"/>
        <v>http://www.biral.ch/fileadmin/Media/images/Planungstools/PumpStationSelector_DWG/PBS_1500_4000_90_600_1P</v>
      </c>
      <c r="N571" s="382" t="str">
        <f t="shared" si="39"/>
        <v>PBS_1500_4000_90_600_1P</v>
      </c>
    </row>
    <row r="572" spans="11:18" x14ac:dyDescent="0.25">
      <c r="K572" s="382" t="str">
        <f t="shared" si="38"/>
        <v>PBS_1500_4250_90_600_1P</v>
      </c>
      <c r="L572" s="384" t="str">
        <f>Sprachen!$E$266</f>
        <v>nessuno</v>
      </c>
      <c r="M572" s="432" t="str">
        <f t="shared" si="35"/>
        <v>http://www.biral.ch/fileadmin/Media/images/Planungstools/PumpStationSelector_DWG/PBS_1500_4250_90_600_1P</v>
      </c>
      <c r="N572" s="382" t="str">
        <f t="shared" si="39"/>
        <v>PBS_1500_4250_90_600_1P</v>
      </c>
    </row>
    <row r="573" spans="11:18" x14ac:dyDescent="0.25">
      <c r="K573" s="382" t="str">
        <f t="shared" si="38"/>
        <v>PBS_1500_4500_90_600_1P</v>
      </c>
      <c r="L573" s="384" t="str">
        <f>Sprachen!$E$266</f>
        <v>nessuno</v>
      </c>
      <c r="M573" s="432" t="str">
        <f t="shared" si="35"/>
        <v>http://www.biral.ch/fileadmin/Media/images/Planungstools/PumpStationSelector_DWG/PBS_1500_4500_90_600_1P</v>
      </c>
      <c r="N573" s="382" t="str">
        <f t="shared" si="39"/>
        <v>PBS_1500_4500_90_600_1P</v>
      </c>
    </row>
    <row r="574" spans="11:18" x14ac:dyDescent="0.25">
      <c r="K574" s="382" t="str">
        <f t="shared" si="38"/>
        <v>PBS_1500_4750_90_600_1P</v>
      </c>
      <c r="L574" s="384" t="str">
        <f>Sprachen!$E$266</f>
        <v>nessuno</v>
      </c>
      <c r="M574" s="432" t="str">
        <f t="shared" si="35"/>
        <v>http://www.biral.ch/fileadmin/Media/images/Planungstools/PumpStationSelector_DWG/PBS_1500_4750_90_600_1P</v>
      </c>
      <c r="N574" s="382" t="str">
        <f t="shared" si="39"/>
        <v>PBS_1500_4750_90_600_1P</v>
      </c>
    </row>
    <row r="575" spans="11:18" x14ac:dyDescent="0.25">
      <c r="K575" s="382" t="str">
        <f t="shared" si="38"/>
        <v>PBS_1500_5000_90_600_1P</v>
      </c>
      <c r="L575" s="384" t="str">
        <f>Sprachen!$E$266</f>
        <v>nessuno</v>
      </c>
      <c r="M575" s="432" t="str">
        <f t="shared" si="35"/>
        <v>http://www.biral.ch/fileadmin/Media/images/Planungstools/PumpStationSelector_DWG/PBS_1500_5000_90_600_1P</v>
      </c>
      <c r="N575" s="382" t="str">
        <f t="shared" si="39"/>
        <v>PBS_1500_5000_90_600_1P</v>
      </c>
    </row>
    <row r="576" spans="11:18" x14ac:dyDescent="0.25">
      <c r="K576" s="382" t="str">
        <f t="shared" si="38"/>
        <v>PBS_1500_5250_90_600_1P</v>
      </c>
      <c r="L576" s="384" t="str">
        <f>Sprachen!$E$266</f>
        <v>nessuno</v>
      </c>
      <c r="M576" s="432" t="str">
        <f t="shared" si="35"/>
        <v>http://www.biral.ch/fileadmin/Media/images/Planungstools/PumpStationSelector_DWG/PBS_1500_5250_90_600_1P</v>
      </c>
      <c r="N576" s="382" t="str">
        <f t="shared" si="39"/>
        <v>PBS_1500_5250_90_600_1P</v>
      </c>
    </row>
    <row r="577" spans="11:14" x14ac:dyDescent="0.25">
      <c r="K577" s="382" t="str">
        <f t="shared" si="38"/>
        <v>PBS_1500_5500_90_600_1P</v>
      </c>
      <c r="L577" s="384" t="str">
        <f>Sprachen!$E$266</f>
        <v>nessuno</v>
      </c>
      <c r="M577" s="432" t="str">
        <f t="shared" si="35"/>
        <v>http://www.biral.ch/fileadmin/Media/images/Planungstools/PumpStationSelector_DWG/PBS_1500_5500_90_600_1P</v>
      </c>
      <c r="N577" s="382" t="str">
        <f t="shared" si="39"/>
        <v>PBS_1500_5500_90_600_1P</v>
      </c>
    </row>
    <row r="578" spans="11:14" x14ac:dyDescent="0.25">
      <c r="K578" s="382" t="str">
        <f t="shared" si="38"/>
        <v>PBS_1500_5750_90_600_1P</v>
      </c>
      <c r="L578" s="384" t="str">
        <f>Sprachen!$E$266</f>
        <v>nessuno</v>
      </c>
      <c r="M578" s="432" t="str">
        <f t="shared" si="35"/>
        <v>http://www.biral.ch/fileadmin/Media/images/Planungstools/PumpStationSelector_DWG/PBS_1500_5750_90_600_1P</v>
      </c>
      <c r="N578" s="382" t="str">
        <f t="shared" si="39"/>
        <v>PBS_1500_5750_90_600_1P</v>
      </c>
    </row>
    <row r="579" spans="11:14" x14ac:dyDescent="0.25">
      <c r="K579" s="382" t="str">
        <f t="shared" si="38"/>
        <v>PBS_1500_6000_90_600_1P</v>
      </c>
      <c r="L579" s="384" t="str">
        <f>Sprachen!$E$266</f>
        <v>nessuno</v>
      </c>
      <c r="M579" s="432" t="str">
        <f t="shared" si="35"/>
        <v>http://www.biral.ch/fileadmin/Media/images/Planungstools/PumpStationSelector_DWG/PBS_1500_6000_90_600_1P</v>
      </c>
      <c r="N579" s="382" t="str">
        <f t="shared" si="39"/>
        <v>PBS_1500_6000_90_600_1P</v>
      </c>
    </row>
    <row r="580" spans="11:14" x14ac:dyDescent="0.25">
      <c r="K580" s="382" t="str">
        <f t="shared" ref="K580:K598" si="40">$F$157&amp;"_"&amp;C158&amp;$E$158&amp;"_600"&amp;$F$159</f>
        <v>PBS_1500_1500_63_600_2P</v>
      </c>
      <c r="L580" s="384" t="str">
        <f>Sprachen!$E$266</f>
        <v>nessuno</v>
      </c>
      <c r="M580" s="432" t="str">
        <f t="shared" si="35"/>
        <v>http://www.biral.ch/fileadmin/Media/images/Planungstools/PumpStationSelector_DWG/PBS_1500_1500_63_600_2P</v>
      </c>
      <c r="N580" s="382" t="str">
        <f t="shared" si="39"/>
        <v>PBS_1500_1500_63_600_2P</v>
      </c>
    </row>
    <row r="581" spans="11:14" x14ac:dyDescent="0.25">
      <c r="K581" s="382" t="str">
        <f t="shared" si="40"/>
        <v>PBS_1500_1750_63_600_2P</v>
      </c>
      <c r="L581" s="384" t="str">
        <f>Sprachen!$E$266</f>
        <v>nessuno</v>
      </c>
      <c r="M581" s="432" t="str">
        <f t="shared" ref="M581:M644" si="41">$M$57&amp;N581</f>
        <v>http://www.biral.ch/fileadmin/Media/images/Planungstools/PumpStationSelector_DWG/PBS_1500_1750_63_600_2P</v>
      </c>
      <c r="N581" s="382" t="str">
        <f t="shared" si="39"/>
        <v>PBS_1500_1750_63_600_2P</v>
      </c>
    </row>
    <row r="582" spans="11:14" x14ac:dyDescent="0.25">
      <c r="K582" s="382" t="str">
        <f t="shared" si="40"/>
        <v>PBS_1500_2000_63_600_2P</v>
      </c>
      <c r="L582" s="384" t="str">
        <f>Sprachen!$E$266</f>
        <v>nessuno</v>
      </c>
      <c r="M582" s="432" t="str">
        <f t="shared" si="41"/>
        <v>http://www.biral.ch/fileadmin/Media/images/Planungstools/PumpStationSelector_DWG/PBS_1500_2000_63_600_2P</v>
      </c>
      <c r="N582" s="382" t="str">
        <f t="shared" si="39"/>
        <v>PBS_1500_2000_63_600_2P</v>
      </c>
    </row>
    <row r="583" spans="11:14" x14ac:dyDescent="0.25">
      <c r="K583" s="382" t="str">
        <f t="shared" si="40"/>
        <v>PBS_1500_2250_63_600_2P</v>
      </c>
      <c r="L583" s="384" t="str">
        <f>Sprachen!$E$266</f>
        <v>nessuno</v>
      </c>
      <c r="M583" s="432" t="str">
        <f t="shared" si="41"/>
        <v>http://www.biral.ch/fileadmin/Media/images/Planungstools/PumpStationSelector_DWG/PBS_1500_2250_63_600_2P</v>
      </c>
      <c r="N583" s="382" t="str">
        <f t="shared" si="39"/>
        <v>PBS_1500_2250_63_600_2P</v>
      </c>
    </row>
    <row r="584" spans="11:14" x14ac:dyDescent="0.25">
      <c r="K584" s="382" t="str">
        <f t="shared" si="40"/>
        <v>PBS_1500_2500_63_600_2P</v>
      </c>
      <c r="L584" s="384" t="str">
        <f>Sprachen!$E$266</f>
        <v>nessuno</v>
      </c>
      <c r="M584" s="432" t="str">
        <f t="shared" si="41"/>
        <v>http://www.biral.ch/fileadmin/Media/images/Planungstools/PumpStationSelector_DWG/PBS_1500_2500_63_600_2P</v>
      </c>
      <c r="N584" s="382" t="str">
        <f t="shared" si="39"/>
        <v>PBS_1500_2500_63_600_2P</v>
      </c>
    </row>
    <row r="585" spans="11:14" x14ac:dyDescent="0.25">
      <c r="K585" s="382" t="str">
        <f t="shared" si="40"/>
        <v>PBS_1500_2750_63_600_2P</v>
      </c>
      <c r="L585" s="384" t="str">
        <f>Sprachen!$E$266</f>
        <v>nessuno</v>
      </c>
      <c r="M585" s="432" t="str">
        <f t="shared" si="41"/>
        <v>http://www.biral.ch/fileadmin/Media/images/Planungstools/PumpStationSelector_DWG/PBS_1500_2750_63_600_2P</v>
      </c>
      <c r="N585" s="382" t="str">
        <f t="shared" si="39"/>
        <v>PBS_1500_2750_63_600_2P</v>
      </c>
    </row>
    <row r="586" spans="11:14" x14ac:dyDescent="0.25">
      <c r="K586" s="382" t="str">
        <f t="shared" si="40"/>
        <v>PBS_1500_3000_63_600_2P</v>
      </c>
      <c r="L586" s="384" t="str">
        <f>Sprachen!$E$266</f>
        <v>nessuno</v>
      </c>
      <c r="M586" s="432" t="str">
        <f t="shared" si="41"/>
        <v>http://www.biral.ch/fileadmin/Media/images/Planungstools/PumpStationSelector_DWG/PBS_1500_3000_63_600_2P</v>
      </c>
      <c r="N586" s="382" t="str">
        <f t="shared" si="39"/>
        <v>PBS_1500_3000_63_600_2P</v>
      </c>
    </row>
    <row r="587" spans="11:14" x14ac:dyDescent="0.25">
      <c r="K587" s="382" t="str">
        <f t="shared" si="40"/>
        <v>PBS_1500_3250_63_600_2P</v>
      </c>
      <c r="L587" s="384" t="str">
        <f>Sprachen!$E$266</f>
        <v>nessuno</v>
      </c>
      <c r="M587" s="432" t="str">
        <f t="shared" si="41"/>
        <v>http://www.biral.ch/fileadmin/Media/images/Planungstools/PumpStationSelector_DWG/PBS_1500_3250_63_600_2P</v>
      </c>
      <c r="N587" s="382" t="str">
        <f t="shared" si="39"/>
        <v>PBS_1500_3250_63_600_2P</v>
      </c>
    </row>
    <row r="588" spans="11:14" x14ac:dyDescent="0.25">
      <c r="K588" s="382" t="str">
        <f t="shared" si="40"/>
        <v>PBS_1500_3500_63_600_2P</v>
      </c>
      <c r="L588" s="384" t="str">
        <f>Sprachen!$E$266</f>
        <v>nessuno</v>
      </c>
      <c r="M588" s="432" t="str">
        <f t="shared" si="41"/>
        <v>http://www.biral.ch/fileadmin/Media/images/Planungstools/PumpStationSelector_DWG/PBS_1500_3500_63_600_2P</v>
      </c>
      <c r="N588" s="382" t="str">
        <f t="shared" si="39"/>
        <v>PBS_1500_3500_63_600_2P</v>
      </c>
    </row>
    <row r="589" spans="11:14" x14ac:dyDescent="0.25">
      <c r="K589" s="382" t="str">
        <f t="shared" si="40"/>
        <v>PBS_1500_3750_63_600_2P</v>
      </c>
      <c r="L589" s="384" t="str">
        <f>Sprachen!$E$266</f>
        <v>nessuno</v>
      </c>
      <c r="M589" s="432" t="str">
        <f t="shared" si="41"/>
        <v>http://www.biral.ch/fileadmin/Media/images/Planungstools/PumpStationSelector_DWG/PBS_1500_3750_63_600_2P</v>
      </c>
      <c r="N589" s="382" t="str">
        <f t="shared" si="39"/>
        <v>PBS_1500_3750_63_600_2P</v>
      </c>
    </row>
    <row r="590" spans="11:14" x14ac:dyDescent="0.25">
      <c r="K590" s="382" t="str">
        <f t="shared" si="40"/>
        <v>PBS_1500_4000_63_600_2P</v>
      </c>
      <c r="L590" s="384" t="str">
        <f>Sprachen!$E$266</f>
        <v>nessuno</v>
      </c>
      <c r="M590" s="432" t="str">
        <f t="shared" si="41"/>
        <v>http://www.biral.ch/fileadmin/Media/images/Planungstools/PumpStationSelector_DWG/PBS_1500_4000_63_600_2P</v>
      </c>
      <c r="N590" s="382" t="str">
        <f t="shared" si="39"/>
        <v>PBS_1500_4000_63_600_2P</v>
      </c>
    </row>
    <row r="591" spans="11:14" x14ac:dyDescent="0.25">
      <c r="K591" s="382" t="str">
        <f t="shared" si="40"/>
        <v>PBS_1500_4250_63_600_2P</v>
      </c>
      <c r="L591" s="384" t="str">
        <f>Sprachen!$E$266</f>
        <v>nessuno</v>
      </c>
      <c r="M591" s="432" t="str">
        <f t="shared" si="41"/>
        <v>http://www.biral.ch/fileadmin/Media/images/Planungstools/PumpStationSelector_DWG/PBS_1500_4250_63_600_2P</v>
      </c>
      <c r="N591" s="382" t="str">
        <f t="shared" si="39"/>
        <v>PBS_1500_4250_63_600_2P</v>
      </c>
    </row>
    <row r="592" spans="11:14" x14ac:dyDescent="0.25">
      <c r="K592" s="382" t="str">
        <f t="shared" si="40"/>
        <v>PBS_1500_4500_63_600_2P</v>
      </c>
      <c r="L592" s="384" t="str">
        <f>Sprachen!$E$266</f>
        <v>nessuno</v>
      </c>
      <c r="M592" s="432" t="str">
        <f t="shared" si="41"/>
        <v>http://www.biral.ch/fileadmin/Media/images/Planungstools/PumpStationSelector_DWG/PBS_1500_4500_63_600_2P</v>
      </c>
      <c r="N592" s="382" t="str">
        <f t="shared" si="39"/>
        <v>PBS_1500_4500_63_600_2P</v>
      </c>
    </row>
    <row r="593" spans="11:14" x14ac:dyDescent="0.25">
      <c r="K593" s="382" t="str">
        <f t="shared" si="40"/>
        <v>PBS_1500_4750_63_600_2P</v>
      </c>
      <c r="L593" s="384" t="str">
        <f>Sprachen!$E$266</f>
        <v>nessuno</v>
      </c>
      <c r="M593" s="432" t="str">
        <f t="shared" si="41"/>
        <v>http://www.biral.ch/fileadmin/Media/images/Planungstools/PumpStationSelector_DWG/PBS_1500_4750_63_600_2P</v>
      </c>
      <c r="N593" s="382" t="str">
        <f t="shared" si="39"/>
        <v>PBS_1500_4750_63_600_2P</v>
      </c>
    </row>
    <row r="594" spans="11:14" x14ac:dyDescent="0.25">
      <c r="K594" s="382" t="str">
        <f t="shared" si="40"/>
        <v>PBS_1500_5000_63_600_2P</v>
      </c>
      <c r="L594" s="384" t="str">
        <f>Sprachen!$E$266</f>
        <v>nessuno</v>
      </c>
      <c r="M594" s="432" t="str">
        <f t="shared" si="41"/>
        <v>http://www.biral.ch/fileadmin/Media/images/Planungstools/PumpStationSelector_DWG/PBS_1500_5000_63_600_2P</v>
      </c>
      <c r="N594" s="382" t="str">
        <f t="shared" si="39"/>
        <v>PBS_1500_5000_63_600_2P</v>
      </c>
    </row>
    <row r="595" spans="11:14" x14ac:dyDescent="0.25">
      <c r="K595" s="382" t="str">
        <f t="shared" si="40"/>
        <v>PBS_1500_5250_63_600_2P</v>
      </c>
      <c r="L595" s="384" t="str">
        <f>Sprachen!$E$266</f>
        <v>nessuno</v>
      </c>
      <c r="M595" s="432" t="str">
        <f t="shared" si="41"/>
        <v>http://www.biral.ch/fileadmin/Media/images/Planungstools/PumpStationSelector_DWG/PBS_1500_5250_63_600_2P</v>
      </c>
      <c r="N595" s="382" t="str">
        <f t="shared" si="39"/>
        <v>PBS_1500_5250_63_600_2P</v>
      </c>
    </row>
    <row r="596" spans="11:14" x14ac:dyDescent="0.25">
      <c r="K596" s="382" t="str">
        <f t="shared" si="40"/>
        <v>PBS_1500_5500_63_600_2P</v>
      </c>
      <c r="L596" s="384" t="str">
        <f>Sprachen!$E$266</f>
        <v>nessuno</v>
      </c>
      <c r="M596" s="432" t="str">
        <f t="shared" si="41"/>
        <v>http://www.biral.ch/fileadmin/Media/images/Planungstools/PumpStationSelector_DWG/PBS_1500_5500_63_600_2P</v>
      </c>
      <c r="N596" s="382" t="str">
        <f t="shared" si="39"/>
        <v>PBS_1500_5500_63_600_2P</v>
      </c>
    </row>
    <row r="597" spans="11:14" x14ac:dyDescent="0.25">
      <c r="K597" s="382" t="str">
        <f t="shared" si="40"/>
        <v>PBS_1500_5750_63_600_2P</v>
      </c>
      <c r="L597" s="384" t="str">
        <f>Sprachen!$E$266</f>
        <v>nessuno</v>
      </c>
      <c r="M597" s="432" t="str">
        <f t="shared" si="41"/>
        <v>http://www.biral.ch/fileadmin/Media/images/Planungstools/PumpStationSelector_DWG/PBS_1500_5750_63_600_2P</v>
      </c>
      <c r="N597" s="382" t="str">
        <f t="shared" si="39"/>
        <v>PBS_1500_5750_63_600_2P</v>
      </c>
    </row>
    <row r="598" spans="11:14" x14ac:dyDescent="0.25">
      <c r="K598" s="382" t="str">
        <f t="shared" si="40"/>
        <v>PBS_1500_6000_63_600_2P</v>
      </c>
      <c r="L598" s="384" t="str">
        <f>Sprachen!$E$266</f>
        <v>nessuno</v>
      </c>
      <c r="M598" s="432" t="str">
        <f t="shared" si="41"/>
        <v>http://www.biral.ch/fileadmin/Media/images/Planungstools/PumpStationSelector_DWG/PBS_1500_6000_63_600_2P</v>
      </c>
      <c r="N598" s="382" t="str">
        <f t="shared" si="39"/>
        <v>PBS_1500_6000_63_600_2P</v>
      </c>
    </row>
    <row r="599" spans="11:14" x14ac:dyDescent="0.25">
      <c r="K599" s="382" t="str">
        <f t="shared" ref="K599:K617" si="42">$F$157&amp;"_"&amp;C158&amp;$E$159&amp;"_600"&amp;$F$159</f>
        <v>PBS_1500_1500_75_600_2P</v>
      </c>
      <c r="L599" s="384" t="str">
        <f>Sprachen!$E$266</f>
        <v>nessuno</v>
      </c>
      <c r="M599" s="432" t="str">
        <f t="shared" si="41"/>
        <v>http://www.biral.ch/fileadmin/Media/images/Planungstools/PumpStationSelector_DWG/PBS_1500_1500_75_600_2P</v>
      </c>
      <c r="N599" s="382" t="str">
        <f t="shared" si="39"/>
        <v>PBS_1500_1500_75_600_2P</v>
      </c>
    </row>
    <row r="600" spans="11:14" x14ac:dyDescent="0.25">
      <c r="K600" s="382" t="str">
        <f t="shared" si="42"/>
        <v>PBS_1500_1750_75_600_2P</v>
      </c>
      <c r="L600" s="384" t="str">
        <f>Sprachen!$E$266</f>
        <v>nessuno</v>
      </c>
      <c r="M600" s="432" t="str">
        <f t="shared" si="41"/>
        <v>http://www.biral.ch/fileadmin/Media/images/Planungstools/PumpStationSelector_DWG/PBS_1500_1750_75_600_2P</v>
      </c>
      <c r="N600" s="382" t="str">
        <f t="shared" si="39"/>
        <v>PBS_1500_1750_75_600_2P</v>
      </c>
    </row>
    <row r="601" spans="11:14" x14ac:dyDescent="0.25">
      <c r="K601" s="382" t="str">
        <f t="shared" si="42"/>
        <v>PBS_1500_2000_75_600_2P</v>
      </c>
      <c r="L601" s="384" t="str">
        <f>Sprachen!$E$266</f>
        <v>nessuno</v>
      </c>
      <c r="M601" s="432" t="str">
        <f t="shared" si="41"/>
        <v>http://www.biral.ch/fileadmin/Media/images/Planungstools/PumpStationSelector_DWG/PBS_1500_2000_75_600_2P</v>
      </c>
      <c r="N601" s="382" t="str">
        <f t="shared" si="39"/>
        <v>PBS_1500_2000_75_600_2P</v>
      </c>
    </row>
    <row r="602" spans="11:14" x14ac:dyDescent="0.25">
      <c r="K602" s="382" t="str">
        <f t="shared" si="42"/>
        <v>PBS_1500_2250_75_600_2P</v>
      </c>
      <c r="L602" s="384" t="str">
        <f>Sprachen!$E$266</f>
        <v>nessuno</v>
      </c>
      <c r="M602" s="432" t="str">
        <f t="shared" si="41"/>
        <v>http://www.biral.ch/fileadmin/Media/images/Planungstools/PumpStationSelector_DWG/PBS_1500_2250_75_600_2P</v>
      </c>
      <c r="N602" s="382" t="str">
        <f t="shared" si="39"/>
        <v>PBS_1500_2250_75_600_2P</v>
      </c>
    </row>
    <row r="603" spans="11:14" x14ac:dyDescent="0.25">
      <c r="K603" s="382" t="str">
        <f t="shared" si="42"/>
        <v>PBS_1500_2500_75_600_2P</v>
      </c>
      <c r="L603" s="384" t="str">
        <f>Sprachen!$E$266</f>
        <v>nessuno</v>
      </c>
      <c r="M603" s="432" t="str">
        <f t="shared" si="41"/>
        <v>http://www.biral.ch/fileadmin/Media/images/Planungstools/PumpStationSelector_DWG/PBS_1500_2500_75_600_2P</v>
      </c>
      <c r="N603" s="382" t="str">
        <f t="shared" si="39"/>
        <v>PBS_1500_2500_75_600_2P</v>
      </c>
    </row>
    <row r="604" spans="11:14" x14ac:dyDescent="0.25">
      <c r="K604" s="382" t="str">
        <f t="shared" si="42"/>
        <v>PBS_1500_2750_75_600_2P</v>
      </c>
      <c r="L604" s="384" t="str">
        <f>Sprachen!$E$266</f>
        <v>nessuno</v>
      </c>
      <c r="M604" s="432" t="str">
        <f t="shared" si="41"/>
        <v>http://www.biral.ch/fileadmin/Media/images/Planungstools/PumpStationSelector_DWG/PBS_1500_2750_75_600_2P</v>
      </c>
      <c r="N604" s="382" t="str">
        <f t="shared" si="39"/>
        <v>PBS_1500_2750_75_600_2P</v>
      </c>
    </row>
    <row r="605" spans="11:14" x14ac:dyDescent="0.25">
      <c r="K605" s="382" t="str">
        <f t="shared" si="42"/>
        <v>PBS_1500_3000_75_600_2P</v>
      </c>
      <c r="L605" s="384" t="str">
        <f>Sprachen!$E$266</f>
        <v>nessuno</v>
      </c>
      <c r="M605" s="432" t="str">
        <f t="shared" si="41"/>
        <v>http://www.biral.ch/fileadmin/Media/images/Planungstools/PumpStationSelector_DWG/PBS_1500_3000_75_600_2P</v>
      </c>
      <c r="N605" s="382" t="str">
        <f t="shared" si="39"/>
        <v>PBS_1500_3000_75_600_2P</v>
      </c>
    </row>
    <row r="606" spans="11:14" x14ac:dyDescent="0.25">
      <c r="K606" s="382" t="str">
        <f t="shared" si="42"/>
        <v>PBS_1500_3250_75_600_2P</v>
      </c>
      <c r="L606" s="384" t="str">
        <f>Sprachen!$E$266</f>
        <v>nessuno</v>
      </c>
      <c r="M606" s="432" t="str">
        <f t="shared" si="41"/>
        <v>http://www.biral.ch/fileadmin/Media/images/Planungstools/PumpStationSelector_DWG/PBS_1500_3250_75_600_2P</v>
      </c>
      <c r="N606" s="382" t="str">
        <f t="shared" si="39"/>
        <v>PBS_1500_3250_75_600_2P</v>
      </c>
    </row>
    <row r="607" spans="11:14" x14ac:dyDescent="0.25">
      <c r="K607" s="382" t="str">
        <f t="shared" si="42"/>
        <v>PBS_1500_3500_75_600_2P</v>
      </c>
      <c r="L607" s="384" t="str">
        <f>Sprachen!$E$266</f>
        <v>nessuno</v>
      </c>
      <c r="M607" s="432" t="str">
        <f t="shared" si="41"/>
        <v>http://www.biral.ch/fileadmin/Media/images/Planungstools/PumpStationSelector_DWG/PBS_1500_3500_75_600_2P</v>
      </c>
      <c r="N607" s="382" t="str">
        <f t="shared" si="39"/>
        <v>PBS_1500_3500_75_600_2P</v>
      </c>
    </row>
    <row r="608" spans="11:14" x14ac:dyDescent="0.25">
      <c r="K608" s="382" t="str">
        <f t="shared" si="42"/>
        <v>PBS_1500_3750_75_600_2P</v>
      </c>
      <c r="L608" s="384" t="str">
        <f>Sprachen!$E$266</f>
        <v>nessuno</v>
      </c>
      <c r="M608" s="432" t="str">
        <f t="shared" si="41"/>
        <v>http://www.biral.ch/fileadmin/Media/images/Planungstools/PumpStationSelector_DWG/PBS_1500_3750_75_600_2P</v>
      </c>
      <c r="N608" s="382" t="str">
        <f t="shared" si="39"/>
        <v>PBS_1500_3750_75_600_2P</v>
      </c>
    </row>
    <row r="609" spans="11:14" x14ac:dyDescent="0.25">
      <c r="K609" s="382" t="str">
        <f t="shared" si="42"/>
        <v>PBS_1500_4000_75_600_2P</v>
      </c>
      <c r="L609" s="384" t="str">
        <f>Sprachen!$E$266</f>
        <v>nessuno</v>
      </c>
      <c r="M609" s="432" t="str">
        <f t="shared" si="41"/>
        <v>http://www.biral.ch/fileadmin/Media/images/Planungstools/PumpStationSelector_DWG/PBS_1500_4000_75_600_2P</v>
      </c>
      <c r="N609" s="382" t="str">
        <f t="shared" si="39"/>
        <v>PBS_1500_4000_75_600_2P</v>
      </c>
    </row>
    <row r="610" spans="11:14" x14ac:dyDescent="0.25">
      <c r="K610" s="382" t="str">
        <f t="shared" si="42"/>
        <v>PBS_1500_4250_75_600_2P</v>
      </c>
      <c r="L610" s="384" t="str">
        <f>Sprachen!$E$266</f>
        <v>nessuno</v>
      </c>
      <c r="M610" s="432" t="str">
        <f t="shared" si="41"/>
        <v>http://www.biral.ch/fileadmin/Media/images/Planungstools/PumpStationSelector_DWG/PBS_1500_4250_75_600_2P</v>
      </c>
      <c r="N610" s="382" t="str">
        <f t="shared" si="39"/>
        <v>PBS_1500_4250_75_600_2P</v>
      </c>
    </row>
    <row r="611" spans="11:14" x14ac:dyDescent="0.25">
      <c r="K611" s="382" t="str">
        <f t="shared" si="42"/>
        <v>PBS_1500_4500_75_600_2P</v>
      </c>
      <c r="L611" s="384" t="str">
        <f>Sprachen!$E$266</f>
        <v>nessuno</v>
      </c>
      <c r="M611" s="432" t="str">
        <f t="shared" si="41"/>
        <v>http://www.biral.ch/fileadmin/Media/images/Planungstools/PumpStationSelector_DWG/PBS_1500_4500_75_600_2P</v>
      </c>
      <c r="N611" s="382" t="str">
        <f t="shared" si="39"/>
        <v>PBS_1500_4500_75_600_2P</v>
      </c>
    </row>
    <row r="612" spans="11:14" x14ac:dyDescent="0.25">
      <c r="K612" s="382" t="str">
        <f t="shared" si="42"/>
        <v>PBS_1500_4750_75_600_2P</v>
      </c>
      <c r="L612" s="384" t="str">
        <f>Sprachen!$E$266</f>
        <v>nessuno</v>
      </c>
      <c r="M612" s="432" t="str">
        <f t="shared" si="41"/>
        <v>http://www.biral.ch/fileadmin/Media/images/Planungstools/PumpStationSelector_DWG/PBS_1500_4750_75_600_2P</v>
      </c>
      <c r="N612" s="382" t="str">
        <f t="shared" si="39"/>
        <v>PBS_1500_4750_75_600_2P</v>
      </c>
    </row>
    <row r="613" spans="11:14" x14ac:dyDescent="0.25">
      <c r="K613" s="382" t="str">
        <f t="shared" si="42"/>
        <v>PBS_1500_5000_75_600_2P</v>
      </c>
      <c r="L613" s="384" t="str">
        <f>Sprachen!$E$266</f>
        <v>nessuno</v>
      </c>
      <c r="M613" s="432" t="str">
        <f t="shared" si="41"/>
        <v>http://www.biral.ch/fileadmin/Media/images/Planungstools/PumpStationSelector_DWG/PBS_1500_5000_75_600_2P</v>
      </c>
      <c r="N613" s="382" t="str">
        <f t="shared" si="39"/>
        <v>PBS_1500_5000_75_600_2P</v>
      </c>
    </row>
    <row r="614" spans="11:14" x14ac:dyDescent="0.25">
      <c r="K614" s="382" t="str">
        <f t="shared" si="42"/>
        <v>PBS_1500_5250_75_600_2P</v>
      </c>
      <c r="L614" s="384" t="str">
        <f>Sprachen!$E$266</f>
        <v>nessuno</v>
      </c>
      <c r="M614" s="432" t="str">
        <f t="shared" si="41"/>
        <v>http://www.biral.ch/fileadmin/Media/images/Planungstools/PumpStationSelector_DWG/PBS_1500_5250_75_600_2P</v>
      </c>
      <c r="N614" s="382" t="str">
        <f t="shared" si="39"/>
        <v>PBS_1500_5250_75_600_2P</v>
      </c>
    </row>
    <row r="615" spans="11:14" x14ac:dyDescent="0.25">
      <c r="K615" s="382" t="str">
        <f t="shared" si="42"/>
        <v>PBS_1500_5500_75_600_2P</v>
      </c>
      <c r="L615" s="384" t="str">
        <f>Sprachen!$E$266</f>
        <v>nessuno</v>
      </c>
      <c r="M615" s="432" t="str">
        <f t="shared" si="41"/>
        <v>http://www.biral.ch/fileadmin/Media/images/Planungstools/PumpStationSelector_DWG/PBS_1500_5500_75_600_2P</v>
      </c>
      <c r="N615" s="382" t="str">
        <f t="shared" si="39"/>
        <v>PBS_1500_5500_75_600_2P</v>
      </c>
    </row>
    <row r="616" spans="11:14" x14ac:dyDescent="0.25">
      <c r="K616" s="382" t="str">
        <f t="shared" si="42"/>
        <v>PBS_1500_5750_75_600_2P</v>
      </c>
      <c r="L616" s="384" t="str">
        <f>Sprachen!$E$266</f>
        <v>nessuno</v>
      </c>
      <c r="M616" s="432" t="str">
        <f t="shared" si="41"/>
        <v>http://www.biral.ch/fileadmin/Media/images/Planungstools/PumpStationSelector_DWG/PBS_1500_5750_75_600_2P</v>
      </c>
      <c r="N616" s="382" t="str">
        <f t="shared" si="39"/>
        <v>PBS_1500_5750_75_600_2P</v>
      </c>
    </row>
    <row r="617" spans="11:14" x14ac:dyDescent="0.25">
      <c r="K617" s="382" t="str">
        <f t="shared" si="42"/>
        <v>PBS_1500_6000_75_600_2P</v>
      </c>
      <c r="L617" s="384" t="str">
        <f>Sprachen!$E$266</f>
        <v>nessuno</v>
      </c>
      <c r="M617" s="432" t="str">
        <f t="shared" si="41"/>
        <v>http://www.biral.ch/fileadmin/Media/images/Planungstools/PumpStationSelector_DWG/PBS_1500_6000_75_600_2P</v>
      </c>
      <c r="N617" s="382" t="str">
        <f t="shared" si="39"/>
        <v>PBS_1500_6000_75_600_2P</v>
      </c>
    </row>
    <row r="618" spans="11:14" x14ac:dyDescent="0.25">
      <c r="K618" s="382" t="str">
        <f t="shared" ref="K618:K636" si="43">$F$157&amp;"_"&amp;C158&amp;$E$160&amp;"_600"&amp;$F$159</f>
        <v>PBS_1500_1500_90_600_2P</v>
      </c>
      <c r="L618" s="384" t="str">
        <f>Sprachen!$E$266</f>
        <v>nessuno</v>
      </c>
      <c r="M618" s="432" t="str">
        <f t="shared" si="41"/>
        <v>http://www.biral.ch/fileadmin/Media/images/Planungstools/PumpStationSelector_DWG/PBS_1500_1500_90_600_2P</v>
      </c>
      <c r="N618" s="382" t="str">
        <f t="shared" si="39"/>
        <v>PBS_1500_1500_90_600_2P</v>
      </c>
    </row>
    <row r="619" spans="11:14" x14ac:dyDescent="0.25">
      <c r="K619" s="382" t="str">
        <f t="shared" si="43"/>
        <v>PBS_1500_1750_90_600_2P</v>
      </c>
      <c r="L619" s="384" t="str">
        <f>Sprachen!$E$266</f>
        <v>nessuno</v>
      </c>
      <c r="M619" s="432" t="str">
        <f t="shared" si="41"/>
        <v>http://www.biral.ch/fileadmin/Media/images/Planungstools/PumpStationSelector_DWG/PBS_1500_1750_90_600_2P</v>
      </c>
      <c r="N619" s="382" t="str">
        <f t="shared" si="39"/>
        <v>PBS_1500_1750_90_600_2P</v>
      </c>
    </row>
    <row r="620" spans="11:14" x14ac:dyDescent="0.25">
      <c r="K620" s="382" t="str">
        <f t="shared" si="43"/>
        <v>PBS_1500_2000_90_600_2P</v>
      </c>
      <c r="L620" s="384" t="str">
        <f>Sprachen!$E$266</f>
        <v>nessuno</v>
      </c>
      <c r="M620" s="432" t="str">
        <f t="shared" si="41"/>
        <v>http://www.biral.ch/fileadmin/Media/images/Planungstools/PumpStationSelector_DWG/PBS_1500_2000_90_600_2P</v>
      </c>
      <c r="N620" s="382" t="str">
        <f t="shared" si="39"/>
        <v>PBS_1500_2000_90_600_2P</v>
      </c>
    </row>
    <row r="621" spans="11:14" x14ac:dyDescent="0.25">
      <c r="K621" s="382" t="str">
        <f t="shared" si="43"/>
        <v>PBS_1500_2250_90_600_2P</v>
      </c>
      <c r="L621" s="384" t="str">
        <f>Sprachen!$E$266</f>
        <v>nessuno</v>
      </c>
      <c r="M621" s="432" t="str">
        <f t="shared" si="41"/>
        <v>http://www.biral.ch/fileadmin/Media/images/Planungstools/PumpStationSelector_DWG/PBS_1500_2250_90_600_2P</v>
      </c>
      <c r="N621" s="382" t="str">
        <f t="shared" si="39"/>
        <v>PBS_1500_2250_90_600_2P</v>
      </c>
    </row>
    <row r="622" spans="11:14" x14ac:dyDescent="0.25">
      <c r="K622" s="382" t="str">
        <f t="shared" si="43"/>
        <v>PBS_1500_2500_90_600_2P</v>
      </c>
      <c r="L622" s="384" t="str">
        <f>Sprachen!$E$266</f>
        <v>nessuno</v>
      </c>
      <c r="M622" s="432" t="str">
        <f t="shared" si="41"/>
        <v>http://www.biral.ch/fileadmin/Media/images/Planungstools/PumpStationSelector_DWG/PBS_1500_2500_90_600_2P</v>
      </c>
      <c r="N622" s="382" t="str">
        <f t="shared" si="39"/>
        <v>PBS_1500_2500_90_600_2P</v>
      </c>
    </row>
    <row r="623" spans="11:14" x14ac:dyDescent="0.25">
      <c r="K623" s="382" t="str">
        <f t="shared" si="43"/>
        <v>PBS_1500_2750_90_600_2P</v>
      </c>
      <c r="L623" s="384" t="str">
        <f>Sprachen!$E$266</f>
        <v>nessuno</v>
      </c>
      <c r="M623" s="432" t="str">
        <f t="shared" si="41"/>
        <v>http://www.biral.ch/fileadmin/Media/images/Planungstools/PumpStationSelector_DWG/PBS_1500_2750_90_600_2P</v>
      </c>
      <c r="N623" s="382" t="str">
        <f t="shared" si="39"/>
        <v>PBS_1500_2750_90_600_2P</v>
      </c>
    </row>
    <row r="624" spans="11:14" x14ac:dyDescent="0.25">
      <c r="K624" s="382" t="str">
        <f t="shared" si="43"/>
        <v>PBS_1500_3000_90_600_2P</v>
      </c>
      <c r="L624" s="384" t="str">
        <f>Sprachen!$E$266</f>
        <v>nessuno</v>
      </c>
      <c r="M624" s="432" t="str">
        <f t="shared" si="41"/>
        <v>http://www.biral.ch/fileadmin/Media/images/Planungstools/PumpStationSelector_DWG/PBS_1500_3000_90_600_2P</v>
      </c>
      <c r="N624" s="382" t="str">
        <f t="shared" si="39"/>
        <v>PBS_1500_3000_90_600_2P</v>
      </c>
    </row>
    <row r="625" spans="11:14" x14ac:dyDescent="0.25">
      <c r="K625" s="382" t="str">
        <f t="shared" si="43"/>
        <v>PBS_1500_3250_90_600_2P</v>
      </c>
      <c r="L625" s="384" t="str">
        <f>Sprachen!$E$266</f>
        <v>nessuno</v>
      </c>
      <c r="M625" s="432" t="str">
        <f t="shared" si="41"/>
        <v>http://www.biral.ch/fileadmin/Media/images/Planungstools/PumpStationSelector_DWG/PBS_1500_3250_90_600_2P</v>
      </c>
      <c r="N625" s="382" t="str">
        <f t="shared" ref="N625:N688" si="44">K625</f>
        <v>PBS_1500_3250_90_600_2P</v>
      </c>
    </row>
    <row r="626" spans="11:14" x14ac:dyDescent="0.25">
      <c r="K626" s="382" t="str">
        <f t="shared" si="43"/>
        <v>PBS_1500_3500_90_600_2P</v>
      </c>
      <c r="L626" s="384" t="str">
        <f>Sprachen!$E$266</f>
        <v>nessuno</v>
      </c>
      <c r="M626" s="432" t="str">
        <f t="shared" si="41"/>
        <v>http://www.biral.ch/fileadmin/Media/images/Planungstools/PumpStationSelector_DWG/PBS_1500_3500_90_600_2P</v>
      </c>
      <c r="N626" s="382" t="str">
        <f t="shared" si="44"/>
        <v>PBS_1500_3500_90_600_2P</v>
      </c>
    </row>
    <row r="627" spans="11:14" x14ac:dyDescent="0.25">
      <c r="K627" s="382" t="str">
        <f t="shared" si="43"/>
        <v>PBS_1500_3750_90_600_2P</v>
      </c>
      <c r="L627" s="384" t="str">
        <f>Sprachen!$E$266</f>
        <v>nessuno</v>
      </c>
      <c r="M627" s="432" t="str">
        <f t="shared" si="41"/>
        <v>http://www.biral.ch/fileadmin/Media/images/Planungstools/PumpStationSelector_DWG/PBS_1500_3750_90_600_2P</v>
      </c>
      <c r="N627" s="382" t="str">
        <f t="shared" si="44"/>
        <v>PBS_1500_3750_90_600_2P</v>
      </c>
    </row>
    <row r="628" spans="11:14" x14ac:dyDescent="0.25">
      <c r="K628" s="382" t="str">
        <f t="shared" si="43"/>
        <v>PBS_1500_4000_90_600_2P</v>
      </c>
      <c r="L628" s="384" t="str">
        <f>Sprachen!$E$266</f>
        <v>nessuno</v>
      </c>
      <c r="M628" s="432" t="str">
        <f t="shared" si="41"/>
        <v>http://www.biral.ch/fileadmin/Media/images/Planungstools/PumpStationSelector_DWG/PBS_1500_4000_90_600_2P</v>
      </c>
      <c r="N628" s="382" t="str">
        <f t="shared" si="44"/>
        <v>PBS_1500_4000_90_600_2P</v>
      </c>
    </row>
    <row r="629" spans="11:14" x14ac:dyDescent="0.25">
      <c r="K629" s="382" t="str">
        <f t="shared" si="43"/>
        <v>PBS_1500_4250_90_600_2P</v>
      </c>
      <c r="L629" s="384" t="str">
        <f>Sprachen!$E$266</f>
        <v>nessuno</v>
      </c>
      <c r="M629" s="432" t="str">
        <f t="shared" si="41"/>
        <v>http://www.biral.ch/fileadmin/Media/images/Planungstools/PumpStationSelector_DWG/PBS_1500_4250_90_600_2P</v>
      </c>
      <c r="N629" s="382" t="str">
        <f t="shared" si="44"/>
        <v>PBS_1500_4250_90_600_2P</v>
      </c>
    </row>
    <row r="630" spans="11:14" x14ac:dyDescent="0.25">
      <c r="K630" s="382" t="str">
        <f t="shared" si="43"/>
        <v>PBS_1500_4500_90_600_2P</v>
      </c>
      <c r="L630" s="384" t="str">
        <f>Sprachen!$E$266</f>
        <v>nessuno</v>
      </c>
      <c r="M630" s="432" t="str">
        <f t="shared" si="41"/>
        <v>http://www.biral.ch/fileadmin/Media/images/Planungstools/PumpStationSelector_DWG/PBS_1500_4500_90_600_2P</v>
      </c>
      <c r="N630" s="382" t="str">
        <f t="shared" si="44"/>
        <v>PBS_1500_4500_90_600_2P</v>
      </c>
    </row>
    <row r="631" spans="11:14" x14ac:dyDescent="0.25">
      <c r="K631" s="382" t="str">
        <f t="shared" si="43"/>
        <v>PBS_1500_4750_90_600_2P</v>
      </c>
      <c r="L631" s="384" t="str">
        <f>Sprachen!$E$266</f>
        <v>nessuno</v>
      </c>
      <c r="M631" s="432" t="str">
        <f t="shared" si="41"/>
        <v>http://www.biral.ch/fileadmin/Media/images/Planungstools/PumpStationSelector_DWG/PBS_1500_4750_90_600_2P</v>
      </c>
      <c r="N631" s="382" t="str">
        <f t="shared" si="44"/>
        <v>PBS_1500_4750_90_600_2P</v>
      </c>
    </row>
    <row r="632" spans="11:14" x14ac:dyDescent="0.25">
      <c r="K632" s="382" t="str">
        <f t="shared" si="43"/>
        <v>PBS_1500_5000_90_600_2P</v>
      </c>
      <c r="L632" s="384" t="str">
        <f>Sprachen!$E$266</f>
        <v>nessuno</v>
      </c>
      <c r="M632" s="432" t="str">
        <f t="shared" si="41"/>
        <v>http://www.biral.ch/fileadmin/Media/images/Planungstools/PumpStationSelector_DWG/PBS_1500_5000_90_600_2P</v>
      </c>
      <c r="N632" s="382" t="str">
        <f t="shared" si="44"/>
        <v>PBS_1500_5000_90_600_2P</v>
      </c>
    </row>
    <row r="633" spans="11:14" x14ac:dyDescent="0.25">
      <c r="K633" s="382" t="str">
        <f t="shared" si="43"/>
        <v>PBS_1500_5250_90_600_2P</v>
      </c>
      <c r="L633" s="384" t="str">
        <f>Sprachen!$E$266</f>
        <v>nessuno</v>
      </c>
      <c r="M633" s="432" t="str">
        <f t="shared" si="41"/>
        <v>http://www.biral.ch/fileadmin/Media/images/Planungstools/PumpStationSelector_DWG/PBS_1500_5250_90_600_2P</v>
      </c>
      <c r="N633" s="382" t="str">
        <f t="shared" si="44"/>
        <v>PBS_1500_5250_90_600_2P</v>
      </c>
    </row>
    <row r="634" spans="11:14" x14ac:dyDescent="0.25">
      <c r="K634" s="382" t="str">
        <f t="shared" si="43"/>
        <v>PBS_1500_5500_90_600_2P</v>
      </c>
      <c r="L634" s="384" t="str">
        <f>Sprachen!$E$266</f>
        <v>nessuno</v>
      </c>
      <c r="M634" s="432" t="str">
        <f t="shared" si="41"/>
        <v>http://www.biral.ch/fileadmin/Media/images/Planungstools/PumpStationSelector_DWG/PBS_1500_5500_90_600_2P</v>
      </c>
      <c r="N634" s="382" t="str">
        <f t="shared" si="44"/>
        <v>PBS_1500_5500_90_600_2P</v>
      </c>
    </row>
    <row r="635" spans="11:14" x14ac:dyDescent="0.25">
      <c r="K635" s="382" t="str">
        <f t="shared" si="43"/>
        <v>PBS_1500_5750_90_600_2P</v>
      </c>
      <c r="L635" s="384" t="str">
        <f>Sprachen!$E$266</f>
        <v>nessuno</v>
      </c>
      <c r="M635" s="432" t="str">
        <f t="shared" si="41"/>
        <v>http://www.biral.ch/fileadmin/Media/images/Planungstools/PumpStationSelector_DWG/PBS_1500_5750_90_600_2P</v>
      </c>
      <c r="N635" s="382" t="str">
        <f t="shared" si="44"/>
        <v>PBS_1500_5750_90_600_2P</v>
      </c>
    </row>
    <row r="636" spans="11:14" x14ac:dyDescent="0.25">
      <c r="K636" s="382" t="str">
        <f t="shared" si="43"/>
        <v>PBS_1500_6000_90_600_2P</v>
      </c>
      <c r="L636" s="384" t="str">
        <f>Sprachen!$E$266</f>
        <v>nessuno</v>
      </c>
      <c r="M636" s="432" t="str">
        <f t="shared" si="41"/>
        <v>http://www.biral.ch/fileadmin/Media/images/Planungstools/PumpStationSelector_DWG/PBS_1500_6000_90_600_2P</v>
      </c>
      <c r="N636" s="382" t="str">
        <f t="shared" si="44"/>
        <v>PBS_1500_6000_90_600_2P</v>
      </c>
    </row>
    <row r="637" spans="11:14" x14ac:dyDescent="0.25">
      <c r="K637" s="382" t="str">
        <f t="shared" ref="K637:K655" si="45">$G$157&amp;"_"&amp;C158&amp;$E$158&amp;"_600"&amp;$F$158</f>
        <v>PBS_2000_1500_63_600_1P</v>
      </c>
      <c r="L637" s="384" t="str">
        <f>Sprachen!$E$266</f>
        <v>nessuno</v>
      </c>
      <c r="M637" s="432" t="str">
        <f t="shared" si="41"/>
        <v>http://www.biral.ch/fileadmin/Media/images/Planungstools/PumpStationSelector_DWG/PBS_2000_1500_63_600_1P</v>
      </c>
      <c r="N637" s="382" t="str">
        <f t="shared" si="44"/>
        <v>PBS_2000_1500_63_600_1P</v>
      </c>
    </row>
    <row r="638" spans="11:14" x14ac:dyDescent="0.25">
      <c r="K638" s="382" t="str">
        <f t="shared" si="45"/>
        <v>PBS_2000_1750_63_600_1P</v>
      </c>
      <c r="L638" s="384" t="str">
        <f>Sprachen!$E$266</f>
        <v>nessuno</v>
      </c>
      <c r="M638" s="432" t="str">
        <f t="shared" si="41"/>
        <v>http://www.biral.ch/fileadmin/Media/images/Planungstools/PumpStationSelector_DWG/PBS_2000_1750_63_600_1P</v>
      </c>
      <c r="N638" s="382" t="str">
        <f t="shared" si="44"/>
        <v>PBS_2000_1750_63_600_1P</v>
      </c>
    </row>
    <row r="639" spans="11:14" x14ac:dyDescent="0.25">
      <c r="K639" s="382" t="str">
        <f t="shared" si="45"/>
        <v>PBS_2000_2000_63_600_1P</v>
      </c>
      <c r="L639" s="384" t="str">
        <f>Sprachen!$E$266</f>
        <v>nessuno</v>
      </c>
      <c r="M639" s="432" t="str">
        <f t="shared" si="41"/>
        <v>http://www.biral.ch/fileadmin/Media/images/Planungstools/PumpStationSelector_DWG/PBS_2000_2000_63_600_1P</v>
      </c>
      <c r="N639" s="382" t="str">
        <f t="shared" si="44"/>
        <v>PBS_2000_2000_63_600_1P</v>
      </c>
    </row>
    <row r="640" spans="11:14" x14ac:dyDescent="0.25">
      <c r="K640" s="382" t="str">
        <f t="shared" si="45"/>
        <v>PBS_2000_2250_63_600_1P</v>
      </c>
      <c r="L640" s="384" t="str">
        <f>Sprachen!$E$266</f>
        <v>nessuno</v>
      </c>
      <c r="M640" s="432" t="str">
        <f t="shared" si="41"/>
        <v>http://www.biral.ch/fileadmin/Media/images/Planungstools/PumpStationSelector_DWG/PBS_2000_2250_63_600_1P</v>
      </c>
      <c r="N640" s="382" t="str">
        <f t="shared" si="44"/>
        <v>PBS_2000_2250_63_600_1P</v>
      </c>
    </row>
    <row r="641" spans="11:14" x14ac:dyDescent="0.25">
      <c r="K641" s="382" t="str">
        <f t="shared" si="45"/>
        <v>PBS_2000_2500_63_600_1P</v>
      </c>
      <c r="L641" s="384" t="str">
        <f>Sprachen!$E$266</f>
        <v>nessuno</v>
      </c>
      <c r="M641" s="432" t="str">
        <f t="shared" si="41"/>
        <v>http://www.biral.ch/fileadmin/Media/images/Planungstools/PumpStationSelector_DWG/PBS_2000_2500_63_600_1P</v>
      </c>
      <c r="N641" s="382" t="str">
        <f t="shared" si="44"/>
        <v>PBS_2000_2500_63_600_1P</v>
      </c>
    </row>
    <row r="642" spans="11:14" x14ac:dyDescent="0.25">
      <c r="K642" s="382" t="str">
        <f t="shared" si="45"/>
        <v>PBS_2000_2750_63_600_1P</v>
      </c>
      <c r="L642" s="384" t="str">
        <f>Sprachen!$E$266</f>
        <v>nessuno</v>
      </c>
      <c r="M642" s="432" t="str">
        <f t="shared" si="41"/>
        <v>http://www.biral.ch/fileadmin/Media/images/Planungstools/PumpStationSelector_DWG/PBS_2000_2750_63_600_1P</v>
      </c>
      <c r="N642" s="382" t="str">
        <f t="shared" si="44"/>
        <v>PBS_2000_2750_63_600_1P</v>
      </c>
    </row>
    <row r="643" spans="11:14" x14ac:dyDescent="0.25">
      <c r="K643" s="382" t="str">
        <f t="shared" si="45"/>
        <v>PBS_2000_3000_63_600_1P</v>
      </c>
      <c r="L643" s="384" t="str">
        <f>Sprachen!$E$266</f>
        <v>nessuno</v>
      </c>
      <c r="M643" s="432" t="str">
        <f t="shared" si="41"/>
        <v>http://www.biral.ch/fileadmin/Media/images/Planungstools/PumpStationSelector_DWG/PBS_2000_3000_63_600_1P</v>
      </c>
      <c r="N643" s="382" t="str">
        <f t="shared" si="44"/>
        <v>PBS_2000_3000_63_600_1P</v>
      </c>
    </row>
    <row r="644" spans="11:14" x14ac:dyDescent="0.25">
      <c r="K644" s="382" t="str">
        <f t="shared" si="45"/>
        <v>PBS_2000_3250_63_600_1P</v>
      </c>
      <c r="L644" s="384" t="str">
        <f>Sprachen!$E$266</f>
        <v>nessuno</v>
      </c>
      <c r="M644" s="432" t="str">
        <f t="shared" si="41"/>
        <v>http://www.biral.ch/fileadmin/Media/images/Planungstools/PumpStationSelector_DWG/PBS_2000_3250_63_600_1P</v>
      </c>
      <c r="N644" s="382" t="str">
        <f t="shared" si="44"/>
        <v>PBS_2000_3250_63_600_1P</v>
      </c>
    </row>
    <row r="645" spans="11:14" x14ac:dyDescent="0.25">
      <c r="K645" s="382" t="str">
        <f t="shared" si="45"/>
        <v>PBS_2000_3500_63_600_1P</v>
      </c>
      <c r="L645" s="384" t="str">
        <f>Sprachen!$E$266</f>
        <v>nessuno</v>
      </c>
      <c r="M645" s="432" t="str">
        <f t="shared" ref="M645:M708" si="46">$M$57&amp;N645</f>
        <v>http://www.biral.ch/fileadmin/Media/images/Planungstools/PumpStationSelector_DWG/PBS_2000_3500_63_600_1P</v>
      </c>
      <c r="N645" s="382" t="str">
        <f t="shared" si="44"/>
        <v>PBS_2000_3500_63_600_1P</v>
      </c>
    </row>
    <row r="646" spans="11:14" x14ac:dyDescent="0.25">
      <c r="K646" s="382" t="str">
        <f t="shared" si="45"/>
        <v>PBS_2000_3750_63_600_1P</v>
      </c>
      <c r="L646" s="384" t="str">
        <f>Sprachen!$E$266</f>
        <v>nessuno</v>
      </c>
      <c r="M646" s="432" t="str">
        <f t="shared" si="46"/>
        <v>http://www.biral.ch/fileadmin/Media/images/Planungstools/PumpStationSelector_DWG/PBS_2000_3750_63_600_1P</v>
      </c>
      <c r="N646" s="382" t="str">
        <f t="shared" si="44"/>
        <v>PBS_2000_3750_63_600_1P</v>
      </c>
    </row>
    <row r="647" spans="11:14" x14ac:dyDescent="0.25">
      <c r="K647" s="382" t="str">
        <f t="shared" si="45"/>
        <v>PBS_2000_4000_63_600_1P</v>
      </c>
      <c r="L647" s="384" t="str">
        <f>Sprachen!$E$266</f>
        <v>nessuno</v>
      </c>
      <c r="M647" s="432" t="str">
        <f t="shared" si="46"/>
        <v>http://www.biral.ch/fileadmin/Media/images/Planungstools/PumpStationSelector_DWG/PBS_2000_4000_63_600_1P</v>
      </c>
      <c r="N647" s="382" t="str">
        <f t="shared" si="44"/>
        <v>PBS_2000_4000_63_600_1P</v>
      </c>
    </row>
    <row r="648" spans="11:14" x14ac:dyDescent="0.25">
      <c r="K648" s="382" t="str">
        <f t="shared" si="45"/>
        <v>PBS_2000_4250_63_600_1P</v>
      </c>
      <c r="L648" s="384" t="str">
        <f>Sprachen!$E$266</f>
        <v>nessuno</v>
      </c>
      <c r="M648" s="432" t="str">
        <f t="shared" si="46"/>
        <v>http://www.biral.ch/fileadmin/Media/images/Planungstools/PumpStationSelector_DWG/PBS_2000_4250_63_600_1P</v>
      </c>
      <c r="N648" s="382" t="str">
        <f t="shared" si="44"/>
        <v>PBS_2000_4250_63_600_1P</v>
      </c>
    </row>
    <row r="649" spans="11:14" x14ac:dyDescent="0.25">
      <c r="K649" s="382" t="str">
        <f t="shared" si="45"/>
        <v>PBS_2000_4500_63_600_1P</v>
      </c>
      <c r="L649" s="384" t="str">
        <f>Sprachen!$E$266</f>
        <v>nessuno</v>
      </c>
      <c r="M649" s="432" t="str">
        <f t="shared" si="46"/>
        <v>http://www.biral.ch/fileadmin/Media/images/Planungstools/PumpStationSelector_DWG/PBS_2000_4500_63_600_1P</v>
      </c>
      <c r="N649" s="382" t="str">
        <f t="shared" si="44"/>
        <v>PBS_2000_4500_63_600_1P</v>
      </c>
    </row>
    <row r="650" spans="11:14" x14ac:dyDescent="0.25">
      <c r="K650" s="382" t="str">
        <f t="shared" si="45"/>
        <v>PBS_2000_4750_63_600_1P</v>
      </c>
      <c r="L650" s="384" t="str">
        <f>Sprachen!$E$266</f>
        <v>nessuno</v>
      </c>
      <c r="M650" s="432" t="str">
        <f t="shared" si="46"/>
        <v>http://www.biral.ch/fileadmin/Media/images/Planungstools/PumpStationSelector_DWG/PBS_2000_4750_63_600_1P</v>
      </c>
      <c r="N650" s="382" t="str">
        <f t="shared" si="44"/>
        <v>PBS_2000_4750_63_600_1P</v>
      </c>
    </row>
    <row r="651" spans="11:14" x14ac:dyDescent="0.25">
      <c r="K651" s="382" t="str">
        <f t="shared" si="45"/>
        <v>PBS_2000_5000_63_600_1P</v>
      </c>
      <c r="L651" s="384" t="str">
        <f>Sprachen!$E$266</f>
        <v>nessuno</v>
      </c>
      <c r="M651" s="432" t="str">
        <f t="shared" si="46"/>
        <v>http://www.biral.ch/fileadmin/Media/images/Planungstools/PumpStationSelector_DWG/PBS_2000_5000_63_600_1P</v>
      </c>
      <c r="N651" s="382" t="str">
        <f t="shared" si="44"/>
        <v>PBS_2000_5000_63_600_1P</v>
      </c>
    </row>
    <row r="652" spans="11:14" x14ac:dyDescent="0.25">
      <c r="K652" s="382" t="str">
        <f t="shared" si="45"/>
        <v>PBS_2000_5250_63_600_1P</v>
      </c>
      <c r="L652" s="384" t="str">
        <f>Sprachen!$E$266</f>
        <v>nessuno</v>
      </c>
      <c r="M652" s="432" t="str">
        <f t="shared" si="46"/>
        <v>http://www.biral.ch/fileadmin/Media/images/Planungstools/PumpStationSelector_DWG/PBS_2000_5250_63_600_1P</v>
      </c>
      <c r="N652" s="382" t="str">
        <f t="shared" si="44"/>
        <v>PBS_2000_5250_63_600_1P</v>
      </c>
    </row>
    <row r="653" spans="11:14" x14ac:dyDescent="0.25">
      <c r="K653" s="382" t="str">
        <f t="shared" si="45"/>
        <v>PBS_2000_5500_63_600_1P</v>
      </c>
      <c r="L653" s="384" t="str">
        <f>Sprachen!$E$266</f>
        <v>nessuno</v>
      </c>
      <c r="M653" s="432" t="str">
        <f t="shared" si="46"/>
        <v>http://www.biral.ch/fileadmin/Media/images/Planungstools/PumpStationSelector_DWG/PBS_2000_5500_63_600_1P</v>
      </c>
      <c r="N653" s="382" t="str">
        <f t="shared" si="44"/>
        <v>PBS_2000_5500_63_600_1P</v>
      </c>
    </row>
    <row r="654" spans="11:14" x14ac:dyDescent="0.25">
      <c r="K654" s="382" t="str">
        <f t="shared" si="45"/>
        <v>PBS_2000_5750_63_600_1P</v>
      </c>
      <c r="L654" s="384" t="str">
        <f>Sprachen!$E$266</f>
        <v>nessuno</v>
      </c>
      <c r="M654" s="432" t="str">
        <f t="shared" si="46"/>
        <v>http://www.biral.ch/fileadmin/Media/images/Planungstools/PumpStationSelector_DWG/PBS_2000_5750_63_600_1P</v>
      </c>
      <c r="N654" s="382" t="str">
        <f t="shared" si="44"/>
        <v>PBS_2000_5750_63_600_1P</v>
      </c>
    </row>
    <row r="655" spans="11:14" x14ac:dyDescent="0.25">
      <c r="K655" s="382" t="str">
        <f t="shared" si="45"/>
        <v>PBS_2000_6000_63_600_1P</v>
      </c>
      <c r="L655" s="384" t="str">
        <f>Sprachen!$E$266</f>
        <v>nessuno</v>
      </c>
      <c r="M655" s="432" t="str">
        <f t="shared" si="46"/>
        <v>http://www.biral.ch/fileadmin/Media/images/Planungstools/PumpStationSelector_DWG/PBS_2000_6000_63_600_1P</v>
      </c>
      <c r="N655" s="382" t="str">
        <f t="shared" si="44"/>
        <v>PBS_2000_6000_63_600_1P</v>
      </c>
    </row>
    <row r="656" spans="11:14" x14ac:dyDescent="0.25">
      <c r="K656" s="382" t="str">
        <f t="shared" ref="K656:K674" si="47">$G$157&amp;"_"&amp;C158&amp;$E$159&amp;"_600"&amp;$F$158</f>
        <v>PBS_2000_1500_75_600_1P</v>
      </c>
      <c r="L656" s="384" t="str">
        <f>Sprachen!$E$266</f>
        <v>nessuno</v>
      </c>
      <c r="M656" s="432" t="str">
        <f t="shared" si="46"/>
        <v>http://www.biral.ch/fileadmin/Media/images/Planungstools/PumpStationSelector_DWG/PBS_2000_1500_75_600_1P</v>
      </c>
      <c r="N656" s="382" t="str">
        <f t="shared" si="44"/>
        <v>PBS_2000_1500_75_600_1P</v>
      </c>
    </row>
    <row r="657" spans="11:14" x14ac:dyDescent="0.25">
      <c r="K657" s="382" t="str">
        <f t="shared" si="47"/>
        <v>PBS_2000_1750_75_600_1P</v>
      </c>
      <c r="L657" s="384" t="str">
        <f>Sprachen!$E$266</f>
        <v>nessuno</v>
      </c>
      <c r="M657" s="432" t="str">
        <f t="shared" si="46"/>
        <v>http://www.biral.ch/fileadmin/Media/images/Planungstools/PumpStationSelector_DWG/PBS_2000_1750_75_600_1P</v>
      </c>
      <c r="N657" s="382" t="str">
        <f t="shared" si="44"/>
        <v>PBS_2000_1750_75_600_1P</v>
      </c>
    </row>
    <row r="658" spans="11:14" x14ac:dyDescent="0.25">
      <c r="K658" s="382" t="str">
        <f t="shared" si="47"/>
        <v>PBS_2000_2000_75_600_1P</v>
      </c>
      <c r="L658" s="384" t="str">
        <f>Sprachen!$E$266</f>
        <v>nessuno</v>
      </c>
      <c r="M658" s="432" t="str">
        <f t="shared" si="46"/>
        <v>http://www.biral.ch/fileadmin/Media/images/Planungstools/PumpStationSelector_DWG/PBS_2000_2000_75_600_1P</v>
      </c>
      <c r="N658" s="382" t="str">
        <f t="shared" si="44"/>
        <v>PBS_2000_2000_75_600_1P</v>
      </c>
    </row>
    <row r="659" spans="11:14" x14ac:dyDescent="0.25">
      <c r="K659" s="382" t="str">
        <f t="shared" si="47"/>
        <v>PBS_2000_2250_75_600_1P</v>
      </c>
      <c r="L659" s="384" t="str">
        <f>Sprachen!$E$266</f>
        <v>nessuno</v>
      </c>
      <c r="M659" s="432" t="str">
        <f t="shared" si="46"/>
        <v>http://www.biral.ch/fileadmin/Media/images/Planungstools/PumpStationSelector_DWG/PBS_2000_2250_75_600_1P</v>
      </c>
      <c r="N659" s="382" t="str">
        <f t="shared" si="44"/>
        <v>PBS_2000_2250_75_600_1P</v>
      </c>
    </row>
    <row r="660" spans="11:14" x14ac:dyDescent="0.25">
      <c r="K660" s="382" t="str">
        <f t="shared" si="47"/>
        <v>PBS_2000_2500_75_600_1P</v>
      </c>
      <c r="L660" s="384" t="str">
        <f>Sprachen!$E$266</f>
        <v>nessuno</v>
      </c>
      <c r="M660" s="432" t="str">
        <f t="shared" si="46"/>
        <v>http://www.biral.ch/fileadmin/Media/images/Planungstools/PumpStationSelector_DWG/PBS_2000_2500_75_600_1P</v>
      </c>
      <c r="N660" s="382" t="str">
        <f t="shared" si="44"/>
        <v>PBS_2000_2500_75_600_1P</v>
      </c>
    </row>
    <row r="661" spans="11:14" x14ac:dyDescent="0.25">
      <c r="K661" s="382" t="str">
        <f t="shared" si="47"/>
        <v>PBS_2000_2750_75_600_1P</v>
      </c>
      <c r="L661" s="384" t="str">
        <f>Sprachen!$E$266</f>
        <v>nessuno</v>
      </c>
      <c r="M661" s="432" t="str">
        <f t="shared" si="46"/>
        <v>http://www.biral.ch/fileadmin/Media/images/Planungstools/PumpStationSelector_DWG/PBS_2000_2750_75_600_1P</v>
      </c>
      <c r="N661" s="382" t="str">
        <f t="shared" si="44"/>
        <v>PBS_2000_2750_75_600_1P</v>
      </c>
    </row>
    <row r="662" spans="11:14" x14ac:dyDescent="0.25">
      <c r="K662" s="382" t="str">
        <f t="shared" si="47"/>
        <v>PBS_2000_3000_75_600_1P</v>
      </c>
      <c r="L662" s="384" t="str">
        <f>Sprachen!$E$266</f>
        <v>nessuno</v>
      </c>
      <c r="M662" s="432" t="str">
        <f t="shared" si="46"/>
        <v>http://www.biral.ch/fileadmin/Media/images/Planungstools/PumpStationSelector_DWG/PBS_2000_3000_75_600_1P</v>
      </c>
      <c r="N662" s="382" t="str">
        <f t="shared" si="44"/>
        <v>PBS_2000_3000_75_600_1P</v>
      </c>
    </row>
    <row r="663" spans="11:14" x14ac:dyDescent="0.25">
      <c r="K663" s="382" t="str">
        <f t="shared" si="47"/>
        <v>PBS_2000_3250_75_600_1P</v>
      </c>
      <c r="L663" s="384" t="str">
        <f>Sprachen!$E$266</f>
        <v>nessuno</v>
      </c>
      <c r="M663" s="432" t="str">
        <f t="shared" si="46"/>
        <v>http://www.biral.ch/fileadmin/Media/images/Planungstools/PumpStationSelector_DWG/PBS_2000_3250_75_600_1P</v>
      </c>
      <c r="N663" s="382" t="str">
        <f t="shared" si="44"/>
        <v>PBS_2000_3250_75_600_1P</v>
      </c>
    </row>
    <row r="664" spans="11:14" x14ac:dyDescent="0.25">
      <c r="K664" s="382" t="str">
        <f t="shared" si="47"/>
        <v>PBS_2000_3500_75_600_1P</v>
      </c>
      <c r="L664" s="384" t="str">
        <f>Sprachen!$E$266</f>
        <v>nessuno</v>
      </c>
      <c r="M664" s="432" t="str">
        <f t="shared" si="46"/>
        <v>http://www.biral.ch/fileadmin/Media/images/Planungstools/PumpStationSelector_DWG/PBS_2000_3500_75_600_1P</v>
      </c>
      <c r="N664" s="382" t="str">
        <f t="shared" si="44"/>
        <v>PBS_2000_3500_75_600_1P</v>
      </c>
    </row>
    <row r="665" spans="11:14" x14ac:dyDescent="0.25">
      <c r="K665" s="382" t="str">
        <f t="shared" si="47"/>
        <v>PBS_2000_3750_75_600_1P</v>
      </c>
      <c r="L665" s="384" t="str">
        <f>Sprachen!$E$266</f>
        <v>nessuno</v>
      </c>
      <c r="M665" s="432" t="str">
        <f t="shared" si="46"/>
        <v>http://www.biral.ch/fileadmin/Media/images/Planungstools/PumpStationSelector_DWG/PBS_2000_3750_75_600_1P</v>
      </c>
      <c r="N665" s="382" t="str">
        <f t="shared" si="44"/>
        <v>PBS_2000_3750_75_600_1P</v>
      </c>
    </row>
    <row r="666" spans="11:14" x14ac:dyDescent="0.25">
      <c r="K666" s="382" t="str">
        <f t="shared" si="47"/>
        <v>PBS_2000_4000_75_600_1P</v>
      </c>
      <c r="L666" s="384" t="str">
        <f>Sprachen!$E$266</f>
        <v>nessuno</v>
      </c>
      <c r="M666" s="432" t="str">
        <f t="shared" si="46"/>
        <v>http://www.biral.ch/fileadmin/Media/images/Planungstools/PumpStationSelector_DWG/PBS_2000_4000_75_600_1P</v>
      </c>
      <c r="N666" s="382" t="str">
        <f t="shared" si="44"/>
        <v>PBS_2000_4000_75_600_1P</v>
      </c>
    </row>
    <row r="667" spans="11:14" x14ac:dyDescent="0.25">
      <c r="K667" s="382" t="str">
        <f t="shared" si="47"/>
        <v>PBS_2000_4250_75_600_1P</v>
      </c>
      <c r="L667" s="384" t="str">
        <f>Sprachen!$E$266</f>
        <v>nessuno</v>
      </c>
      <c r="M667" s="432" t="str">
        <f t="shared" si="46"/>
        <v>http://www.biral.ch/fileadmin/Media/images/Planungstools/PumpStationSelector_DWG/PBS_2000_4250_75_600_1P</v>
      </c>
      <c r="N667" s="382" t="str">
        <f t="shared" si="44"/>
        <v>PBS_2000_4250_75_600_1P</v>
      </c>
    </row>
    <row r="668" spans="11:14" x14ac:dyDescent="0.25">
      <c r="K668" s="382" t="str">
        <f t="shared" si="47"/>
        <v>PBS_2000_4500_75_600_1P</v>
      </c>
      <c r="L668" s="384" t="str">
        <f>Sprachen!$E$266</f>
        <v>nessuno</v>
      </c>
      <c r="M668" s="432" t="str">
        <f t="shared" si="46"/>
        <v>http://www.biral.ch/fileadmin/Media/images/Planungstools/PumpStationSelector_DWG/PBS_2000_4500_75_600_1P</v>
      </c>
      <c r="N668" s="382" t="str">
        <f t="shared" si="44"/>
        <v>PBS_2000_4500_75_600_1P</v>
      </c>
    </row>
    <row r="669" spans="11:14" x14ac:dyDescent="0.25">
      <c r="K669" s="382" t="str">
        <f t="shared" si="47"/>
        <v>PBS_2000_4750_75_600_1P</v>
      </c>
      <c r="L669" s="384" t="str">
        <f>Sprachen!$E$266</f>
        <v>nessuno</v>
      </c>
      <c r="M669" s="432" t="str">
        <f t="shared" si="46"/>
        <v>http://www.biral.ch/fileadmin/Media/images/Planungstools/PumpStationSelector_DWG/PBS_2000_4750_75_600_1P</v>
      </c>
      <c r="N669" s="382" t="str">
        <f t="shared" si="44"/>
        <v>PBS_2000_4750_75_600_1P</v>
      </c>
    </row>
    <row r="670" spans="11:14" x14ac:dyDescent="0.25">
      <c r="K670" s="382" t="str">
        <f t="shared" si="47"/>
        <v>PBS_2000_5000_75_600_1P</v>
      </c>
      <c r="L670" s="384" t="str">
        <f>Sprachen!$E$266</f>
        <v>nessuno</v>
      </c>
      <c r="M670" s="432" t="str">
        <f t="shared" si="46"/>
        <v>http://www.biral.ch/fileadmin/Media/images/Planungstools/PumpStationSelector_DWG/PBS_2000_5000_75_600_1P</v>
      </c>
      <c r="N670" s="382" t="str">
        <f t="shared" si="44"/>
        <v>PBS_2000_5000_75_600_1P</v>
      </c>
    </row>
    <row r="671" spans="11:14" x14ac:dyDescent="0.25">
      <c r="K671" s="382" t="str">
        <f t="shared" si="47"/>
        <v>PBS_2000_5250_75_600_1P</v>
      </c>
      <c r="L671" s="384" t="str">
        <f>Sprachen!$E$266</f>
        <v>nessuno</v>
      </c>
      <c r="M671" s="432" t="str">
        <f t="shared" si="46"/>
        <v>http://www.biral.ch/fileadmin/Media/images/Planungstools/PumpStationSelector_DWG/PBS_2000_5250_75_600_1P</v>
      </c>
      <c r="N671" s="382" t="str">
        <f t="shared" si="44"/>
        <v>PBS_2000_5250_75_600_1P</v>
      </c>
    </row>
    <row r="672" spans="11:14" x14ac:dyDescent="0.25">
      <c r="K672" s="382" t="str">
        <f t="shared" si="47"/>
        <v>PBS_2000_5500_75_600_1P</v>
      </c>
      <c r="L672" s="384" t="str">
        <f>Sprachen!$E$266</f>
        <v>nessuno</v>
      </c>
      <c r="M672" s="432" t="str">
        <f t="shared" si="46"/>
        <v>http://www.biral.ch/fileadmin/Media/images/Planungstools/PumpStationSelector_DWG/PBS_2000_5500_75_600_1P</v>
      </c>
      <c r="N672" s="382" t="str">
        <f t="shared" si="44"/>
        <v>PBS_2000_5500_75_600_1P</v>
      </c>
    </row>
    <row r="673" spans="11:14" x14ac:dyDescent="0.25">
      <c r="K673" s="382" t="str">
        <f t="shared" si="47"/>
        <v>PBS_2000_5750_75_600_1P</v>
      </c>
      <c r="L673" s="384" t="str">
        <f>Sprachen!$E$266</f>
        <v>nessuno</v>
      </c>
      <c r="M673" s="432" t="str">
        <f t="shared" si="46"/>
        <v>http://www.biral.ch/fileadmin/Media/images/Planungstools/PumpStationSelector_DWG/PBS_2000_5750_75_600_1P</v>
      </c>
      <c r="N673" s="382" t="str">
        <f t="shared" si="44"/>
        <v>PBS_2000_5750_75_600_1P</v>
      </c>
    </row>
    <row r="674" spans="11:14" x14ac:dyDescent="0.25">
      <c r="K674" s="382" t="str">
        <f t="shared" si="47"/>
        <v>PBS_2000_6000_75_600_1P</v>
      </c>
      <c r="L674" s="384" t="str">
        <f>Sprachen!$E$266</f>
        <v>nessuno</v>
      </c>
      <c r="M674" s="432" t="str">
        <f t="shared" si="46"/>
        <v>http://www.biral.ch/fileadmin/Media/images/Planungstools/PumpStationSelector_DWG/PBS_2000_6000_75_600_1P</v>
      </c>
      <c r="N674" s="382" t="str">
        <f t="shared" si="44"/>
        <v>PBS_2000_6000_75_600_1P</v>
      </c>
    </row>
    <row r="675" spans="11:14" x14ac:dyDescent="0.25">
      <c r="K675" s="382" t="str">
        <f t="shared" ref="K675:K693" si="48">$G$157&amp;"_"&amp;C158&amp;$E$160&amp;"_600"&amp;$F$158</f>
        <v>PBS_2000_1500_90_600_1P</v>
      </c>
      <c r="L675" s="384" t="str">
        <f>Sprachen!$E$266</f>
        <v>nessuno</v>
      </c>
      <c r="M675" s="432" t="str">
        <f t="shared" si="46"/>
        <v>http://www.biral.ch/fileadmin/Media/images/Planungstools/PumpStationSelector_DWG/PBS_2000_1500_90_600_1P</v>
      </c>
      <c r="N675" s="382" t="str">
        <f t="shared" si="44"/>
        <v>PBS_2000_1500_90_600_1P</v>
      </c>
    </row>
    <row r="676" spans="11:14" x14ac:dyDescent="0.25">
      <c r="K676" s="382" t="str">
        <f t="shared" si="48"/>
        <v>PBS_2000_1750_90_600_1P</v>
      </c>
      <c r="L676" s="384" t="str">
        <f>Sprachen!$E$266</f>
        <v>nessuno</v>
      </c>
      <c r="M676" s="432" t="str">
        <f t="shared" si="46"/>
        <v>http://www.biral.ch/fileadmin/Media/images/Planungstools/PumpStationSelector_DWG/PBS_2000_1750_90_600_1P</v>
      </c>
      <c r="N676" s="382" t="str">
        <f t="shared" si="44"/>
        <v>PBS_2000_1750_90_600_1P</v>
      </c>
    </row>
    <row r="677" spans="11:14" x14ac:dyDescent="0.25">
      <c r="K677" s="382" t="str">
        <f t="shared" si="48"/>
        <v>PBS_2000_2000_90_600_1P</v>
      </c>
      <c r="L677" s="384" t="str">
        <f>Sprachen!$E$266</f>
        <v>nessuno</v>
      </c>
      <c r="M677" s="432" t="str">
        <f t="shared" si="46"/>
        <v>http://www.biral.ch/fileadmin/Media/images/Planungstools/PumpStationSelector_DWG/PBS_2000_2000_90_600_1P</v>
      </c>
      <c r="N677" s="382" t="str">
        <f t="shared" si="44"/>
        <v>PBS_2000_2000_90_600_1P</v>
      </c>
    </row>
    <row r="678" spans="11:14" x14ac:dyDescent="0.25">
      <c r="K678" s="382" t="str">
        <f t="shared" si="48"/>
        <v>PBS_2000_2250_90_600_1P</v>
      </c>
      <c r="L678" s="384" t="str">
        <f>Sprachen!$E$266</f>
        <v>nessuno</v>
      </c>
      <c r="M678" s="432" t="str">
        <f t="shared" si="46"/>
        <v>http://www.biral.ch/fileadmin/Media/images/Planungstools/PumpStationSelector_DWG/PBS_2000_2250_90_600_1P</v>
      </c>
      <c r="N678" s="382" t="str">
        <f t="shared" si="44"/>
        <v>PBS_2000_2250_90_600_1P</v>
      </c>
    </row>
    <row r="679" spans="11:14" x14ac:dyDescent="0.25">
      <c r="K679" s="382" t="str">
        <f t="shared" si="48"/>
        <v>PBS_2000_2500_90_600_1P</v>
      </c>
      <c r="L679" s="384" t="str">
        <f>Sprachen!$E$266</f>
        <v>nessuno</v>
      </c>
      <c r="M679" s="432" t="str">
        <f t="shared" si="46"/>
        <v>http://www.biral.ch/fileadmin/Media/images/Planungstools/PumpStationSelector_DWG/PBS_2000_2500_90_600_1P</v>
      </c>
      <c r="N679" s="382" t="str">
        <f t="shared" si="44"/>
        <v>PBS_2000_2500_90_600_1P</v>
      </c>
    </row>
    <row r="680" spans="11:14" x14ac:dyDescent="0.25">
      <c r="K680" s="382" t="str">
        <f t="shared" si="48"/>
        <v>PBS_2000_2750_90_600_1P</v>
      </c>
      <c r="L680" s="384" t="str">
        <f>Sprachen!$E$266</f>
        <v>nessuno</v>
      </c>
      <c r="M680" s="432" t="str">
        <f t="shared" si="46"/>
        <v>http://www.biral.ch/fileadmin/Media/images/Planungstools/PumpStationSelector_DWG/PBS_2000_2750_90_600_1P</v>
      </c>
      <c r="N680" s="382" t="str">
        <f t="shared" si="44"/>
        <v>PBS_2000_2750_90_600_1P</v>
      </c>
    </row>
    <row r="681" spans="11:14" x14ac:dyDescent="0.25">
      <c r="K681" s="382" t="str">
        <f t="shared" si="48"/>
        <v>PBS_2000_3000_90_600_1P</v>
      </c>
      <c r="L681" s="384" t="str">
        <f>Sprachen!$E$266</f>
        <v>nessuno</v>
      </c>
      <c r="M681" s="432" t="str">
        <f t="shared" si="46"/>
        <v>http://www.biral.ch/fileadmin/Media/images/Planungstools/PumpStationSelector_DWG/PBS_2000_3000_90_600_1P</v>
      </c>
      <c r="N681" s="382" t="str">
        <f t="shared" si="44"/>
        <v>PBS_2000_3000_90_600_1P</v>
      </c>
    </row>
    <row r="682" spans="11:14" x14ac:dyDescent="0.25">
      <c r="K682" s="382" t="str">
        <f t="shared" si="48"/>
        <v>PBS_2000_3250_90_600_1P</v>
      </c>
      <c r="L682" s="384" t="str">
        <f>Sprachen!$E$266</f>
        <v>nessuno</v>
      </c>
      <c r="M682" s="432" t="str">
        <f t="shared" si="46"/>
        <v>http://www.biral.ch/fileadmin/Media/images/Planungstools/PumpStationSelector_DWG/PBS_2000_3250_90_600_1P</v>
      </c>
      <c r="N682" s="382" t="str">
        <f t="shared" si="44"/>
        <v>PBS_2000_3250_90_600_1P</v>
      </c>
    </row>
    <row r="683" spans="11:14" x14ac:dyDescent="0.25">
      <c r="K683" s="382" t="str">
        <f t="shared" si="48"/>
        <v>PBS_2000_3500_90_600_1P</v>
      </c>
      <c r="L683" s="384" t="str">
        <f>Sprachen!$E$266</f>
        <v>nessuno</v>
      </c>
      <c r="M683" s="432" t="str">
        <f t="shared" si="46"/>
        <v>http://www.biral.ch/fileadmin/Media/images/Planungstools/PumpStationSelector_DWG/PBS_2000_3500_90_600_1P</v>
      </c>
      <c r="N683" s="382" t="str">
        <f t="shared" si="44"/>
        <v>PBS_2000_3500_90_600_1P</v>
      </c>
    </row>
    <row r="684" spans="11:14" x14ac:dyDescent="0.25">
      <c r="K684" s="382" t="str">
        <f t="shared" si="48"/>
        <v>PBS_2000_3750_90_600_1P</v>
      </c>
      <c r="L684" s="384" t="str">
        <f>Sprachen!$E$266</f>
        <v>nessuno</v>
      </c>
      <c r="M684" s="432" t="str">
        <f t="shared" si="46"/>
        <v>http://www.biral.ch/fileadmin/Media/images/Planungstools/PumpStationSelector_DWG/PBS_2000_3750_90_600_1P</v>
      </c>
      <c r="N684" s="382" t="str">
        <f t="shared" si="44"/>
        <v>PBS_2000_3750_90_600_1P</v>
      </c>
    </row>
    <row r="685" spans="11:14" x14ac:dyDescent="0.25">
      <c r="K685" s="382" t="str">
        <f t="shared" si="48"/>
        <v>PBS_2000_4000_90_600_1P</v>
      </c>
      <c r="L685" s="384" t="str">
        <f>Sprachen!$E$266</f>
        <v>nessuno</v>
      </c>
      <c r="M685" s="432" t="str">
        <f t="shared" si="46"/>
        <v>http://www.biral.ch/fileadmin/Media/images/Planungstools/PumpStationSelector_DWG/PBS_2000_4000_90_600_1P</v>
      </c>
      <c r="N685" s="382" t="str">
        <f t="shared" si="44"/>
        <v>PBS_2000_4000_90_600_1P</v>
      </c>
    </row>
    <row r="686" spans="11:14" x14ac:dyDescent="0.25">
      <c r="K686" s="382" t="str">
        <f t="shared" si="48"/>
        <v>PBS_2000_4250_90_600_1P</v>
      </c>
      <c r="L686" s="384" t="str">
        <f>Sprachen!$E$266</f>
        <v>nessuno</v>
      </c>
      <c r="M686" s="432" t="str">
        <f t="shared" si="46"/>
        <v>http://www.biral.ch/fileadmin/Media/images/Planungstools/PumpStationSelector_DWG/PBS_2000_4250_90_600_1P</v>
      </c>
      <c r="N686" s="382" t="str">
        <f t="shared" si="44"/>
        <v>PBS_2000_4250_90_600_1P</v>
      </c>
    </row>
    <row r="687" spans="11:14" x14ac:dyDescent="0.25">
      <c r="K687" s="382" t="str">
        <f t="shared" si="48"/>
        <v>PBS_2000_4500_90_600_1P</v>
      </c>
      <c r="L687" s="384" t="str">
        <f>Sprachen!$E$266</f>
        <v>nessuno</v>
      </c>
      <c r="M687" s="432" t="str">
        <f t="shared" si="46"/>
        <v>http://www.biral.ch/fileadmin/Media/images/Planungstools/PumpStationSelector_DWG/PBS_2000_4500_90_600_1P</v>
      </c>
      <c r="N687" s="382" t="str">
        <f t="shared" si="44"/>
        <v>PBS_2000_4500_90_600_1P</v>
      </c>
    </row>
    <row r="688" spans="11:14" x14ac:dyDescent="0.25">
      <c r="K688" s="382" t="str">
        <f t="shared" si="48"/>
        <v>PBS_2000_4750_90_600_1P</v>
      </c>
      <c r="L688" s="384" t="str">
        <f>Sprachen!$E$266</f>
        <v>nessuno</v>
      </c>
      <c r="M688" s="432" t="str">
        <f t="shared" si="46"/>
        <v>http://www.biral.ch/fileadmin/Media/images/Planungstools/PumpStationSelector_DWG/PBS_2000_4750_90_600_1P</v>
      </c>
      <c r="N688" s="382" t="str">
        <f t="shared" si="44"/>
        <v>PBS_2000_4750_90_600_1P</v>
      </c>
    </row>
    <row r="689" spans="11:14" x14ac:dyDescent="0.25">
      <c r="K689" s="382" t="str">
        <f t="shared" si="48"/>
        <v>PBS_2000_5000_90_600_1P</v>
      </c>
      <c r="L689" s="384" t="str">
        <f>Sprachen!$E$266</f>
        <v>nessuno</v>
      </c>
      <c r="M689" s="432" t="str">
        <f t="shared" si="46"/>
        <v>http://www.biral.ch/fileadmin/Media/images/Planungstools/PumpStationSelector_DWG/PBS_2000_5000_90_600_1P</v>
      </c>
      <c r="N689" s="382" t="str">
        <f t="shared" ref="N689:N752" si="49">K689</f>
        <v>PBS_2000_5000_90_600_1P</v>
      </c>
    </row>
    <row r="690" spans="11:14" x14ac:dyDescent="0.25">
      <c r="K690" s="382" t="str">
        <f t="shared" si="48"/>
        <v>PBS_2000_5250_90_600_1P</v>
      </c>
      <c r="L690" s="384" t="str">
        <f>Sprachen!$E$266</f>
        <v>nessuno</v>
      </c>
      <c r="M690" s="432" t="str">
        <f t="shared" si="46"/>
        <v>http://www.biral.ch/fileadmin/Media/images/Planungstools/PumpStationSelector_DWG/PBS_2000_5250_90_600_1P</v>
      </c>
      <c r="N690" s="382" t="str">
        <f t="shared" si="49"/>
        <v>PBS_2000_5250_90_600_1P</v>
      </c>
    </row>
    <row r="691" spans="11:14" x14ac:dyDescent="0.25">
      <c r="K691" s="382" t="str">
        <f t="shared" si="48"/>
        <v>PBS_2000_5500_90_600_1P</v>
      </c>
      <c r="L691" s="384" t="str">
        <f>Sprachen!$E$266</f>
        <v>nessuno</v>
      </c>
      <c r="M691" s="432" t="str">
        <f t="shared" si="46"/>
        <v>http://www.biral.ch/fileadmin/Media/images/Planungstools/PumpStationSelector_DWG/PBS_2000_5500_90_600_1P</v>
      </c>
      <c r="N691" s="382" t="str">
        <f t="shared" si="49"/>
        <v>PBS_2000_5500_90_600_1P</v>
      </c>
    </row>
    <row r="692" spans="11:14" x14ac:dyDescent="0.25">
      <c r="K692" s="382" t="str">
        <f t="shared" si="48"/>
        <v>PBS_2000_5750_90_600_1P</v>
      </c>
      <c r="L692" s="384" t="str">
        <f>Sprachen!$E$266</f>
        <v>nessuno</v>
      </c>
      <c r="M692" s="432" t="str">
        <f t="shared" si="46"/>
        <v>http://www.biral.ch/fileadmin/Media/images/Planungstools/PumpStationSelector_DWG/PBS_2000_5750_90_600_1P</v>
      </c>
      <c r="N692" s="382" t="str">
        <f t="shared" si="49"/>
        <v>PBS_2000_5750_90_600_1P</v>
      </c>
    </row>
    <row r="693" spans="11:14" x14ac:dyDescent="0.25">
      <c r="K693" s="382" t="str">
        <f t="shared" si="48"/>
        <v>PBS_2000_6000_90_600_1P</v>
      </c>
      <c r="L693" s="384" t="str">
        <f>Sprachen!$E$266</f>
        <v>nessuno</v>
      </c>
      <c r="M693" s="432" t="str">
        <f t="shared" si="46"/>
        <v>http://www.biral.ch/fileadmin/Media/images/Planungstools/PumpStationSelector_DWG/PBS_2000_6000_90_600_1P</v>
      </c>
      <c r="N693" s="382" t="str">
        <f t="shared" si="49"/>
        <v>PBS_2000_6000_90_600_1P</v>
      </c>
    </row>
    <row r="694" spans="11:14" x14ac:dyDescent="0.25">
      <c r="K694" s="382" t="str">
        <f t="shared" ref="K694:K712" si="50">$G$157&amp;"_"&amp;C158&amp;$E$158&amp;"_600"&amp;$F$159</f>
        <v>PBS_2000_1500_63_600_2P</v>
      </c>
      <c r="L694" s="384" t="str">
        <f>Sprachen!$E$266</f>
        <v>nessuno</v>
      </c>
      <c r="M694" s="432" t="str">
        <f t="shared" si="46"/>
        <v>http://www.biral.ch/fileadmin/Media/images/Planungstools/PumpStationSelector_DWG/PBS_2000_1500_63_600_2P</v>
      </c>
      <c r="N694" s="382" t="str">
        <f t="shared" si="49"/>
        <v>PBS_2000_1500_63_600_2P</v>
      </c>
    </row>
    <row r="695" spans="11:14" x14ac:dyDescent="0.25">
      <c r="K695" s="382" t="str">
        <f t="shared" si="50"/>
        <v>PBS_2000_1750_63_600_2P</v>
      </c>
      <c r="L695" s="384" t="str">
        <f>Sprachen!$E$266</f>
        <v>nessuno</v>
      </c>
      <c r="M695" s="432" t="str">
        <f t="shared" si="46"/>
        <v>http://www.biral.ch/fileadmin/Media/images/Planungstools/PumpStationSelector_DWG/PBS_2000_1750_63_600_2P</v>
      </c>
      <c r="N695" s="382" t="str">
        <f t="shared" si="49"/>
        <v>PBS_2000_1750_63_600_2P</v>
      </c>
    </row>
    <row r="696" spans="11:14" x14ac:dyDescent="0.25">
      <c r="K696" s="382" t="str">
        <f t="shared" si="50"/>
        <v>PBS_2000_2000_63_600_2P</v>
      </c>
      <c r="L696" s="384" t="str">
        <f>Sprachen!$E$266</f>
        <v>nessuno</v>
      </c>
      <c r="M696" s="432" t="str">
        <f t="shared" si="46"/>
        <v>http://www.biral.ch/fileadmin/Media/images/Planungstools/PumpStationSelector_DWG/PBS_2000_2000_63_600_2P</v>
      </c>
      <c r="N696" s="382" t="str">
        <f t="shared" si="49"/>
        <v>PBS_2000_2000_63_600_2P</v>
      </c>
    </row>
    <row r="697" spans="11:14" x14ac:dyDescent="0.25">
      <c r="K697" s="382" t="str">
        <f t="shared" si="50"/>
        <v>PBS_2000_2250_63_600_2P</v>
      </c>
      <c r="L697" s="384" t="str">
        <f>Sprachen!$E$266</f>
        <v>nessuno</v>
      </c>
      <c r="M697" s="432" t="str">
        <f t="shared" si="46"/>
        <v>http://www.biral.ch/fileadmin/Media/images/Planungstools/PumpStationSelector_DWG/PBS_2000_2250_63_600_2P</v>
      </c>
      <c r="N697" s="382" t="str">
        <f t="shared" si="49"/>
        <v>PBS_2000_2250_63_600_2P</v>
      </c>
    </row>
    <row r="698" spans="11:14" x14ac:dyDescent="0.25">
      <c r="K698" s="382" t="str">
        <f t="shared" si="50"/>
        <v>PBS_2000_2500_63_600_2P</v>
      </c>
      <c r="L698" s="384" t="str">
        <f>Sprachen!$E$266</f>
        <v>nessuno</v>
      </c>
      <c r="M698" s="432" t="str">
        <f t="shared" si="46"/>
        <v>http://www.biral.ch/fileadmin/Media/images/Planungstools/PumpStationSelector_DWG/PBS_2000_2500_63_600_2P</v>
      </c>
      <c r="N698" s="382" t="str">
        <f t="shared" si="49"/>
        <v>PBS_2000_2500_63_600_2P</v>
      </c>
    </row>
    <row r="699" spans="11:14" x14ac:dyDescent="0.25">
      <c r="K699" s="382" t="str">
        <f t="shared" si="50"/>
        <v>PBS_2000_2750_63_600_2P</v>
      </c>
      <c r="L699" s="384" t="str">
        <f>Sprachen!$E$266</f>
        <v>nessuno</v>
      </c>
      <c r="M699" s="432" t="str">
        <f t="shared" si="46"/>
        <v>http://www.biral.ch/fileadmin/Media/images/Planungstools/PumpStationSelector_DWG/PBS_2000_2750_63_600_2P</v>
      </c>
      <c r="N699" s="382" t="str">
        <f t="shared" si="49"/>
        <v>PBS_2000_2750_63_600_2P</v>
      </c>
    </row>
    <row r="700" spans="11:14" x14ac:dyDescent="0.25">
      <c r="K700" s="382" t="str">
        <f t="shared" si="50"/>
        <v>PBS_2000_3000_63_600_2P</v>
      </c>
      <c r="L700" s="384" t="str">
        <f>Sprachen!$E$266</f>
        <v>nessuno</v>
      </c>
      <c r="M700" s="432" t="str">
        <f t="shared" si="46"/>
        <v>http://www.biral.ch/fileadmin/Media/images/Planungstools/PumpStationSelector_DWG/PBS_2000_3000_63_600_2P</v>
      </c>
      <c r="N700" s="382" t="str">
        <f t="shared" si="49"/>
        <v>PBS_2000_3000_63_600_2P</v>
      </c>
    </row>
    <row r="701" spans="11:14" x14ac:dyDescent="0.25">
      <c r="K701" s="382" t="str">
        <f t="shared" si="50"/>
        <v>PBS_2000_3250_63_600_2P</v>
      </c>
      <c r="L701" s="384" t="str">
        <f>Sprachen!$E$266</f>
        <v>nessuno</v>
      </c>
      <c r="M701" s="432" t="str">
        <f t="shared" si="46"/>
        <v>http://www.biral.ch/fileadmin/Media/images/Planungstools/PumpStationSelector_DWG/PBS_2000_3250_63_600_2P</v>
      </c>
      <c r="N701" s="382" t="str">
        <f t="shared" si="49"/>
        <v>PBS_2000_3250_63_600_2P</v>
      </c>
    </row>
    <row r="702" spans="11:14" x14ac:dyDescent="0.25">
      <c r="K702" s="382" t="str">
        <f t="shared" si="50"/>
        <v>PBS_2000_3500_63_600_2P</v>
      </c>
      <c r="L702" s="384" t="str">
        <f>Sprachen!$E$266</f>
        <v>nessuno</v>
      </c>
      <c r="M702" s="432" t="str">
        <f t="shared" si="46"/>
        <v>http://www.biral.ch/fileadmin/Media/images/Planungstools/PumpStationSelector_DWG/PBS_2000_3500_63_600_2P</v>
      </c>
      <c r="N702" s="382" t="str">
        <f t="shared" si="49"/>
        <v>PBS_2000_3500_63_600_2P</v>
      </c>
    </row>
    <row r="703" spans="11:14" x14ac:dyDescent="0.25">
      <c r="K703" s="382" t="str">
        <f t="shared" si="50"/>
        <v>PBS_2000_3750_63_600_2P</v>
      </c>
      <c r="L703" s="384" t="str">
        <f>Sprachen!$E$266</f>
        <v>nessuno</v>
      </c>
      <c r="M703" s="432" t="str">
        <f t="shared" si="46"/>
        <v>http://www.biral.ch/fileadmin/Media/images/Planungstools/PumpStationSelector_DWG/PBS_2000_3750_63_600_2P</v>
      </c>
      <c r="N703" s="382" t="str">
        <f t="shared" si="49"/>
        <v>PBS_2000_3750_63_600_2P</v>
      </c>
    </row>
    <row r="704" spans="11:14" x14ac:dyDescent="0.25">
      <c r="K704" s="382" t="str">
        <f t="shared" si="50"/>
        <v>PBS_2000_4000_63_600_2P</v>
      </c>
      <c r="L704" s="384" t="str">
        <f>Sprachen!$E$266</f>
        <v>nessuno</v>
      </c>
      <c r="M704" s="432" t="str">
        <f t="shared" si="46"/>
        <v>http://www.biral.ch/fileadmin/Media/images/Planungstools/PumpStationSelector_DWG/PBS_2000_4000_63_600_2P</v>
      </c>
      <c r="N704" s="382" t="str">
        <f t="shared" si="49"/>
        <v>PBS_2000_4000_63_600_2P</v>
      </c>
    </row>
    <row r="705" spans="11:14" x14ac:dyDescent="0.25">
      <c r="K705" s="382" t="str">
        <f t="shared" si="50"/>
        <v>PBS_2000_4250_63_600_2P</v>
      </c>
      <c r="L705" s="384" t="str">
        <f>Sprachen!$E$266</f>
        <v>nessuno</v>
      </c>
      <c r="M705" s="432" t="str">
        <f t="shared" si="46"/>
        <v>http://www.biral.ch/fileadmin/Media/images/Planungstools/PumpStationSelector_DWG/PBS_2000_4250_63_600_2P</v>
      </c>
      <c r="N705" s="382" t="str">
        <f t="shared" si="49"/>
        <v>PBS_2000_4250_63_600_2P</v>
      </c>
    </row>
    <row r="706" spans="11:14" x14ac:dyDescent="0.25">
      <c r="K706" s="382" t="str">
        <f t="shared" si="50"/>
        <v>PBS_2000_4500_63_600_2P</v>
      </c>
      <c r="L706" s="384" t="str">
        <f>Sprachen!$E$266</f>
        <v>nessuno</v>
      </c>
      <c r="M706" s="432" t="str">
        <f t="shared" si="46"/>
        <v>http://www.biral.ch/fileadmin/Media/images/Planungstools/PumpStationSelector_DWG/PBS_2000_4500_63_600_2P</v>
      </c>
      <c r="N706" s="382" t="str">
        <f t="shared" si="49"/>
        <v>PBS_2000_4500_63_600_2P</v>
      </c>
    </row>
    <row r="707" spans="11:14" x14ac:dyDescent="0.25">
      <c r="K707" s="382" t="str">
        <f t="shared" si="50"/>
        <v>PBS_2000_4750_63_600_2P</v>
      </c>
      <c r="L707" s="384" t="str">
        <f>Sprachen!$E$266</f>
        <v>nessuno</v>
      </c>
      <c r="M707" s="432" t="str">
        <f t="shared" si="46"/>
        <v>http://www.biral.ch/fileadmin/Media/images/Planungstools/PumpStationSelector_DWG/PBS_2000_4750_63_600_2P</v>
      </c>
      <c r="N707" s="382" t="str">
        <f t="shared" si="49"/>
        <v>PBS_2000_4750_63_600_2P</v>
      </c>
    </row>
    <row r="708" spans="11:14" x14ac:dyDescent="0.25">
      <c r="K708" s="382" t="str">
        <f t="shared" si="50"/>
        <v>PBS_2000_5000_63_600_2P</v>
      </c>
      <c r="L708" s="384" t="str">
        <f>Sprachen!$E$266</f>
        <v>nessuno</v>
      </c>
      <c r="M708" s="432" t="str">
        <f t="shared" si="46"/>
        <v>http://www.biral.ch/fileadmin/Media/images/Planungstools/PumpStationSelector_DWG/PBS_2000_5000_63_600_2P</v>
      </c>
      <c r="N708" s="382" t="str">
        <f t="shared" si="49"/>
        <v>PBS_2000_5000_63_600_2P</v>
      </c>
    </row>
    <row r="709" spans="11:14" x14ac:dyDescent="0.25">
      <c r="K709" s="382" t="str">
        <f t="shared" si="50"/>
        <v>PBS_2000_5250_63_600_2P</v>
      </c>
      <c r="L709" s="384" t="str">
        <f>Sprachen!$E$266</f>
        <v>nessuno</v>
      </c>
      <c r="M709" s="432" t="str">
        <f t="shared" ref="M709:M769" si="51">$M$57&amp;N709</f>
        <v>http://www.biral.ch/fileadmin/Media/images/Planungstools/PumpStationSelector_DWG/PBS_2000_5250_63_600_2P</v>
      </c>
      <c r="N709" s="382" t="str">
        <f t="shared" si="49"/>
        <v>PBS_2000_5250_63_600_2P</v>
      </c>
    </row>
    <row r="710" spans="11:14" x14ac:dyDescent="0.25">
      <c r="K710" s="382" t="str">
        <f t="shared" si="50"/>
        <v>PBS_2000_5500_63_600_2P</v>
      </c>
      <c r="L710" s="384" t="str">
        <f>Sprachen!$E$266</f>
        <v>nessuno</v>
      </c>
      <c r="M710" s="432" t="str">
        <f t="shared" si="51"/>
        <v>http://www.biral.ch/fileadmin/Media/images/Planungstools/PumpStationSelector_DWG/PBS_2000_5500_63_600_2P</v>
      </c>
      <c r="N710" s="382" t="str">
        <f t="shared" si="49"/>
        <v>PBS_2000_5500_63_600_2P</v>
      </c>
    </row>
    <row r="711" spans="11:14" x14ac:dyDescent="0.25">
      <c r="K711" s="382" t="str">
        <f t="shared" si="50"/>
        <v>PBS_2000_5750_63_600_2P</v>
      </c>
      <c r="L711" s="384" t="str">
        <f>Sprachen!$E$266</f>
        <v>nessuno</v>
      </c>
      <c r="M711" s="432" t="str">
        <f t="shared" si="51"/>
        <v>http://www.biral.ch/fileadmin/Media/images/Planungstools/PumpStationSelector_DWG/PBS_2000_5750_63_600_2P</v>
      </c>
      <c r="N711" s="382" t="str">
        <f t="shared" si="49"/>
        <v>PBS_2000_5750_63_600_2P</v>
      </c>
    </row>
    <row r="712" spans="11:14" x14ac:dyDescent="0.25">
      <c r="K712" s="382" t="str">
        <f t="shared" si="50"/>
        <v>PBS_2000_6000_63_600_2P</v>
      </c>
      <c r="L712" s="384" t="str">
        <f>Sprachen!$E$266</f>
        <v>nessuno</v>
      </c>
      <c r="M712" s="432" t="str">
        <f t="shared" si="51"/>
        <v>http://www.biral.ch/fileadmin/Media/images/Planungstools/PumpStationSelector_DWG/PBS_2000_6000_63_600_2P</v>
      </c>
      <c r="N712" s="382" t="str">
        <f t="shared" si="49"/>
        <v>PBS_2000_6000_63_600_2P</v>
      </c>
    </row>
    <row r="713" spans="11:14" x14ac:dyDescent="0.25">
      <c r="K713" s="382" t="str">
        <f t="shared" ref="K713:K731" si="52">$G$157&amp;"_"&amp;C158&amp;$E$159&amp;"_600"&amp;$F$159</f>
        <v>PBS_2000_1500_75_600_2P</v>
      </c>
      <c r="L713" s="384" t="str">
        <f>Sprachen!$E$266</f>
        <v>nessuno</v>
      </c>
      <c r="M713" s="432" t="str">
        <f t="shared" si="51"/>
        <v>http://www.biral.ch/fileadmin/Media/images/Planungstools/PumpStationSelector_DWG/PBS_2000_1500_75_600_2P</v>
      </c>
      <c r="N713" s="382" t="str">
        <f t="shared" si="49"/>
        <v>PBS_2000_1500_75_600_2P</v>
      </c>
    </row>
    <row r="714" spans="11:14" x14ac:dyDescent="0.25">
      <c r="K714" s="382" t="str">
        <f t="shared" si="52"/>
        <v>PBS_2000_1750_75_600_2P</v>
      </c>
      <c r="L714" s="384" t="str">
        <f>Sprachen!$E$266</f>
        <v>nessuno</v>
      </c>
      <c r="M714" s="432" t="str">
        <f t="shared" si="51"/>
        <v>http://www.biral.ch/fileadmin/Media/images/Planungstools/PumpStationSelector_DWG/PBS_2000_1750_75_600_2P</v>
      </c>
      <c r="N714" s="382" t="str">
        <f t="shared" si="49"/>
        <v>PBS_2000_1750_75_600_2P</v>
      </c>
    </row>
    <row r="715" spans="11:14" x14ac:dyDescent="0.25">
      <c r="K715" s="382" t="str">
        <f t="shared" si="52"/>
        <v>PBS_2000_2000_75_600_2P</v>
      </c>
      <c r="L715" s="384" t="str">
        <f>Sprachen!$E$266</f>
        <v>nessuno</v>
      </c>
      <c r="M715" s="432" t="str">
        <f t="shared" si="51"/>
        <v>http://www.biral.ch/fileadmin/Media/images/Planungstools/PumpStationSelector_DWG/PBS_2000_2000_75_600_2P</v>
      </c>
      <c r="N715" s="382" t="str">
        <f t="shared" si="49"/>
        <v>PBS_2000_2000_75_600_2P</v>
      </c>
    </row>
    <row r="716" spans="11:14" x14ac:dyDescent="0.25">
      <c r="K716" s="382" t="str">
        <f t="shared" si="52"/>
        <v>PBS_2000_2250_75_600_2P</v>
      </c>
      <c r="L716" s="384" t="str">
        <f>Sprachen!$E$266</f>
        <v>nessuno</v>
      </c>
      <c r="M716" s="432" t="str">
        <f t="shared" si="51"/>
        <v>http://www.biral.ch/fileadmin/Media/images/Planungstools/PumpStationSelector_DWG/PBS_2000_2250_75_600_2P</v>
      </c>
      <c r="N716" s="382" t="str">
        <f t="shared" si="49"/>
        <v>PBS_2000_2250_75_600_2P</v>
      </c>
    </row>
    <row r="717" spans="11:14" x14ac:dyDescent="0.25">
      <c r="K717" s="382" t="str">
        <f t="shared" si="52"/>
        <v>PBS_2000_2500_75_600_2P</v>
      </c>
      <c r="L717" s="384" t="str">
        <f>Sprachen!$E$266</f>
        <v>nessuno</v>
      </c>
      <c r="M717" s="432" t="str">
        <f t="shared" si="51"/>
        <v>http://www.biral.ch/fileadmin/Media/images/Planungstools/PumpStationSelector_DWG/PBS_2000_2500_75_600_2P</v>
      </c>
      <c r="N717" s="382" t="str">
        <f t="shared" si="49"/>
        <v>PBS_2000_2500_75_600_2P</v>
      </c>
    </row>
    <row r="718" spans="11:14" x14ac:dyDescent="0.25">
      <c r="K718" s="382" t="str">
        <f t="shared" si="52"/>
        <v>PBS_2000_2750_75_600_2P</v>
      </c>
      <c r="L718" s="384" t="str">
        <f>Sprachen!$E$266</f>
        <v>nessuno</v>
      </c>
      <c r="M718" s="432" t="str">
        <f t="shared" si="51"/>
        <v>http://www.biral.ch/fileadmin/Media/images/Planungstools/PumpStationSelector_DWG/PBS_2000_2750_75_600_2P</v>
      </c>
      <c r="N718" s="382" t="str">
        <f t="shared" si="49"/>
        <v>PBS_2000_2750_75_600_2P</v>
      </c>
    </row>
    <row r="719" spans="11:14" x14ac:dyDescent="0.25">
      <c r="K719" s="382" t="str">
        <f t="shared" si="52"/>
        <v>PBS_2000_3000_75_600_2P</v>
      </c>
      <c r="L719" s="384" t="str">
        <f>Sprachen!$E$266</f>
        <v>nessuno</v>
      </c>
      <c r="M719" s="432" t="str">
        <f t="shared" si="51"/>
        <v>http://www.biral.ch/fileadmin/Media/images/Planungstools/PumpStationSelector_DWG/PBS_2000_3000_75_600_2P</v>
      </c>
      <c r="N719" s="382" t="str">
        <f t="shared" si="49"/>
        <v>PBS_2000_3000_75_600_2P</v>
      </c>
    </row>
    <row r="720" spans="11:14" x14ac:dyDescent="0.25">
      <c r="K720" s="382" t="str">
        <f t="shared" si="52"/>
        <v>PBS_2000_3250_75_600_2P</v>
      </c>
      <c r="L720" s="384" t="str">
        <f>Sprachen!$E$266</f>
        <v>nessuno</v>
      </c>
      <c r="M720" s="432" t="str">
        <f t="shared" si="51"/>
        <v>http://www.biral.ch/fileadmin/Media/images/Planungstools/PumpStationSelector_DWG/PBS_2000_3250_75_600_2P</v>
      </c>
      <c r="N720" s="382" t="str">
        <f t="shared" si="49"/>
        <v>PBS_2000_3250_75_600_2P</v>
      </c>
    </row>
    <row r="721" spans="11:14" x14ac:dyDescent="0.25">
      <c r="K721" s="382" t="str">
        <f t="shared" si="52"/>
        <v>PBS_2000_3500_75_600_2P</v>
      </c>
      <c r="L721" s="384" t="str">
        <f>Sprachen!$E$266</f>
        <v>nessuno</v>
      </c>
      <c r="M721" s="432" t="str">
        <f t="shared" si="51"/>
        <v>http://www.biral.ch/fileadmin/Media/images/Planungstools/PumpStationSelector_DWG/PBS_2000_3500_75_600_2P</v>
      </c>
      <c r="N721" s="382" t="str">
        <f t="shared" si="49"/>
        <v>PBS_2000_3500_75_600_2P</v>
      </c>
    </row>
    <row r="722" spans="11:14" x14ac:dyDescent="0.25">
      <c r="K722" s="382" t="str">
        <f t="shared" si="52"/>
        <v>PBS_2000_3750_75_600_2P</v>
      </c>
      <c r="L722" s="384" t="str">
        <f>Sprachen!$E$266</f>
        <v>nessuno</v>
      </c>
      <c r="M722" s="432" t="str">
        <f t="shared" si="51"/>
        <v>http://www.biral.ch/fileadmin/Media/images/Planungstools/PumpStationSelector_DWG/PBS_2000_3750_75_600_2P</v>
      </c>
      <c r="N722" s="382" t="str">
        <f t="shared" si="49"/>
        <v>PBS_2000_3750_75_600_2P</v>
      </c>
    </row>
    <row r="723" spans="11:14" x14ac:dyDescent="0.25">
      <c r="K723" s="382" t="str">
        <f t="shared" si="52"/>
        <v>PBS_2000_4000_75_600_2P</v>
      </c>
      <c r="L723" s="384" t="str">
        <f>Sprachen!$E$266</f>
        <v>nessuno</v>
      </c>
      <c r="M723" s="432" t="str">
        <f t="shared" si="51"/>
        <v>http://www.biral.ch/fileadmin/Media/images/Planungstools/PumpStationSelector_DWG/PBS_2000_4000_75_600_2P</v>
      </c>
      <c r="N723" s="382" t="str">
        <f t="shared" si="49"/>
        <v>PBS_2000_4000_75_600_2P</v>
      </c>
    </row>
    <row r="724" spans="11:14" x14ac:dyDescent="0.25">
      <c r="K724" s="382" t="str">
        <f t="shared" si="52"/>
        <v>PBS_2000_4250_75_600_2P</v>
      </c>
      <c r="L724" s="384" t="str">
        <f>Sprachen!$E$266</f>
        <v>nessuno</v>
      </c>
      <c r="M724" s="432" t="str">
        <f t="shared" si="51"/>
        <v>http://www.biral.ch/fileadmin/Media/images/Planungstools/PumpStationSelector_DWG/PBS_2000_4250_75_600_2P</v>
      </c>
      <c r="N724" s="382" t="str">
        <f t="shared" si="49"/>
        <v>PBS_2000_4250_75_600_2P</v>
      </c>
    </row>
    <row r="725" spans="11:14" x14ac:dyDescent="0.25">
      <c r="K725" s="382" t="str">
        <f t="shared" si="52"/>
        <v>PBS_2000_4500_75_600_2P</v>
      </c>
      <c r="L725" s="384" t="str">
        <f>Sprachen!$E$266</f>
        <v>nessuno</v>
      </c>
      <c r="M725" s="432" t="str">
        <f t="shared" si="51"/>
        <v>http://www.biral.ch/fileadmin/Media/images/Planungstools/PumpStationSelector_DWG/PBS_2000_4500_75_600_2P</v>
      </c>
      <c r="N725" s="382" t="str">
        <f t="shared" si="49"/>
        <v>PBS_2000_4500_75_600_2P</v>
      </c>
    </row>
    <row r="726" spans="11:14" x14ac:dyDescent="0.25">
      <c r="K726" s="382" t="str">
        <f t="shared" si="52"/>
        <v>PBS_2000_4750_75_600_2P</v>
      </c>
      <c r="L726" s="384" t="str">
        <f>Sprachen!$E$266</f>
        <v>nessuno</v>
      </c>
      <c r="M726" s="432" t="str">
        <f t="shared" si="51"/>
        <v>http://www.biral.ch/fileadmin/Media/images/Planungstools/PumpStationSelector_DWG/PBS_2000_4750_75_600_2P</v>
      </c>
      <c r="N726" s="382" t="str">
        <f t="shared" si="49"/>
        <v>PBS_2000_4750_75_600_2P</v>
      </c>
    </row>
    <row r="727" spans="11:14" x14ac:dyDescent="0.25">
      <c r="K727" s="382" t="str">
        <f t="shared" si="52"/>
        <v>PBS_2000_5000_75_600_2P</v>
      </c>
      <c r="L727" s="384" t="str">
        <f>Sprachen!$E$266</f>
        <v>nessuno</v>
      </c>
      <c r="M727" s="432" t="str">
        <f t="shared" si="51"/>
        <v>http://www.biral.ch/fileadmin/Media/images/Planungstools/PumpStationSelector_DWG/PBS_2000_5000_75_600_2P</v>
      </c>
      <c r="N727" s="382" t="str">
        <f t="shared" si="49"/>
        <v>PBS_2000_5000_75_600_2P</v>
      </c>
    </row>
    <row r="728" spans="11:14" x14ac:dyDescent="0.25">
      <c r="K728" s="382" t="str">
        <f t="shared" si="52"/>
        <v>PBS_2000_5250_75_600_2P</v>
      </c>
      <c r="L728" s="384" t="str">
        <f>Sprachen!$E$266</f>
        <v>nessuno</v>
      </c>
      <c r="M728" s="432" t="str">
        <f t="shared" si="51"/>
        <v>http://www.biral.ch/fileadmin/Media/images/Planungstools/PumpStationSelector_DWG/PBS_2000_5250_75_600_2P</v>
      </c>
      <c r="N728" s="382" t="str">
        <f t="shared" si="49"/>
        <v>PBS_2000_5250_75_600_2P</v>
      </c>
    </row>
    <row r="729" spans="11:14" x14ac:dyDescent="0.25">
      <c r="K729" s="382" t="str">
        <f t="shared" si="52"/>
        <v>PBS_2000_5500_75_600_2P</v>
      </c>
      <c r="L729" s="384" t="str">
        <f>Sprachen!$E$266</f>
        <v>nessuno</v>
      </c>
      <c r="M729" s="432" t="str">
        <f t="shared" si="51"/>
        <v>http://www.biral.ch/fileadmin/Media/images/Planungstools/PumpStationSelector_DWG/PBS_2000_5500_75_600_2P</v>
      </c>
      <c r="N729" s="382" t="str">
        <f t="shared" si="49"/>
        <v>PBS_2000_5500_75_600_2P</v>
      </c>
    </row>
    <row r="730" spans="11:14" x14ac:dyDescent="0.25">
      <c r="K730" s="382" t="str">
        <f t="shared" si="52"/>
        <v>PBS_2000_5750_75_600_2P</v>
      </c>
      <c r="L730" s="384" t="str">
        <f>Sprachen!$E$266</f>
        <v>nessuno</v>
      </c>
      <c r="M730" s="432" t="str">
        <f t="shared" si="51"/>
        <v>http://www.biral.ch/fileadmin/Media/images/Planungstools/PumpStationSelector_DWG/PBS_2000_5750_75_600_2P</v>
      </c>
      <c r="N730" s="382" t="str">
        <f t="shared" si="49"/>
        <v>PBS_2000_5750_75_600_2P</v>
      </c>
    </row>
    <row r="731" spans="11:14" x14ac:dyDescent="0.25">
      <c r="K731" s="382" t="str">
        <f t="shared" si="52"/>
        <v>PBS_2000_6000_75_600_2P</v>
      </c>
      <c r="L731" s="384" t="str">
        <f>Sprachen!$E$266</f>
        <v>nessuno</v>
      </c>
      <c r="M731" s="432" t="str">
        <f t="shared" si="51"/>
        <v>http://www.biral.ch/fileadmin/Media/images/Planungstools/PumpStationSelector_DWG/PBS_2000_6000_75_600_2P</v>
      </c>
      <c r="N731" s="382" t="str">
        <f t="shared" si="49"/>
        <v>PBS_2000_6000_75_600_2P</v>
      </c>
    </row>
    <row r="732" spans="11:14" x14ac:dyDescent="0.25">
      <c r="K732" s="382" t="str">
        <f t="shared" ref="K732:K750" si="53">$G$157&amp;"_"&amp;C158&amp;$E$160&amp;"_600"&amp;$F$159</f>
        <v>PBS_2000_1500_90_600_2P</v>
      </c>
      <c r="L732" s="384" t="str">
        <f>Sprachen!$E$266</f>
        <v>nessuno</v>
      </c>
      <c r="M732" s="432" t="str">
        <f t="shared" si="51"/>
        <v>http://www.biral.ch/fileadmin/Media/images/Planungstools/PumpStationSelector_DWG/PBS_2000_1500_90_600_2P</v>
      </c>
      <c r="N732" s="382" t="str">
        <f t="shared" si="49"/>
        <v>PBS_2000_1500_90_600_2P</v>
      </c>
    </row>
    <row r="733" spans="11:14" x14ac:dyDescent="0.25">
      <c r="K733" s="382" t="str">
        <f t="shared" si="53"/>
        <v>PBS_2000_1750_90_600_2P</v>
      </c>
      <c r="L733" s="384" t="str">
        <f>Sprachen!$E$266</f>
        <v>nessuno</v>
      </c>
      <c r="M733" s="432" t="str">
        <f t="shared" si="51"/>
        <v>http://www.biral.ch/fileadmin/Media/images/Planungstools/PumpStationSelector_DWG/PBS_2000_1750_90_600_2P</v>
      </c>
      <c r="N733" s="382" t="str">
        <f t="shared" si="49"/>
        <v>PBS_2000_1750_90_600_2P</v>
      </c>
    </row>
    <row r="734" spans="11:14" x14ac:dyDescent="0.25">
      <c r="K734" s="382" t="str">
        <f t="shared" si="53"/>
        <v>PBS_2000_2000_90_600_2P</v>
      </c>
      <c r="L734" s="384" t="str">
        <f>Sprachen!$E$266</f>
        <v>nessuno</v>
      </c>
      <c r="M734" s="432" t="str">
        <f t="shared" si="51"/>
        <v>http://www.biral.ch/fileadmin/Media/images/Planungstools/PumpStationSelector_DWG/PBS_2000_2000_90_600_2P</v>
      </c>
      <c r="N734" s="382" t="str">
        <f t="shared" si="49"/>
        <v>PBS_2000_2000_90_600_2P</v>
      </c>
    </row>
    <row r="735" spans="11:14" x14ac:dyDescent="0.25">
      <c r="K735" s="382" t="str">
        <f t="shared" si="53"/>
        <v>PBS_2000_2250_90_600_2P</v>
      </c>
      <c r="L735" s="384" t="str">
        <f>Sprachen!$E$266</f>
        <v>nessuno</v>
      </c>
      <c r="M735" s="432" t="str">
        <f t="shared" si="51"/>
        <v>http://www.biral.ch/fileadmin/Media/images/Planungstools/PumpStationSelector_DWG/PBS_2000_2250_90_600_2P</v>
      </c>
      <c r="N735" s="382" t="str">
        <f t="shared" si="49"/>
        <v>PBS_2000_2250_90_600_2P</v>
      </c>
    </row>
    <row r="736" spans="11:14" x14ac:dyDescent="0.25">
      <c r="K736" s="382" t="str">
        <f t="shared" si="53"/>
        <v>PBS_2000_2500_90_600_2P</v>
      </c>
      <c r="L736" s="384" t="str">
        <f>Sprachen!$E$266</f>
        <v>nessuno</v>
      </c>
      <c r="M736" s="432" t="str">
        <f t="shared" si="51"/>
        <v>http://www.biral.ch/fileadmin/Media/images/Planungstools/PumpStationSelector_DWG/PBS_2000_2500_90_600_2P</v>
      </c>
      <c r="N736" s="382" t="str">
        <f t="shared" si="49"/>
        <v>PBS_2000_2500_90_600_2P</v>
      </c>
    </row>
    <row r="737" spans="11:14" x14ac:dyDescent="0.25">
      <c r="K737" s="382" t="str">
        <f t="shared" si="53"/>
        <v>PBS_2000_2750_90_600_2P</v>
      </c>
      <c r="L737" s="384" t="str">
        <f>Sprachen!$E$266</f>
        <v>nessuno</v>
      </c>
      <c r="M737" s="432" t="str">
        <f t="shared" si="51"/>
        <v>http://www.biral.ch/fileadmin/Media/images/Planungstools/PumpStationSelector_DWG/PBS_2000_2750_90_600_2P</v>
      </c>
      <c r="N737" s="382" t="str">
        <f t="shared" si="49"/>
        <v>PBS_2000_2750_90_600_2P</v>
      </c>
    </row>
    <row r="738" spans="11:14" x14ac:dyDescent="0.25">
      <c r="K738" s="382" t="str">
        <f t="shared" si="53"/>
        <v>PBS_2000_3000_90_600_2P</v>
      </c>
      <c r="L738" s="384" t="str">
        <f>Sprachen!$E$266</f>
        <v>nessuno</v>
      </c>
      <c r="M738" s="432" t="str">
        <f t="shared" si="51"/>
        <v>http://www.biral.ch/fileadmin/Media/images/Planungstools/PumpStationSelector_DWG/PBS_2000_3000_90_600_2P</v>
      </c>
      <c r="N738" s="382" t="str">
        <f t="shared" si="49"/>
        <v>PBS_2000_3000_90_600_2P</v>
      </c>
    </row>
    <row r="739" spans="11:14" x14ac:dyDescent="0.25">
      <c r="K739" s="382" t="str">
        <f t="shared" si="53"/>
        <v>PBS_2000_3250_90_600_2P</v>
      </c>
      <c r="L739" s="384" t="str">
        <f>Sprachen!$E$266</f>
        <v>nessuno</v>
      </c>
      <c r="M739" s="432" t="str">
        <f t="shared" si="51"/>
        <v>http://www.biral.ch/fileadmin/Media/images/Planungstools/PumpStationSelector_DWG/PBS_2000_3250_90_600_2P</v>
      </c>
      <c r="N739" s="382" t="str">
        <f t="shared" si="49"/>
        <v>PBS_2000_3250_90_600_2P</v>
      </c>
    </row>
    <row r="740" spans="11:14" x14ac:dyDescent="0.25">
      <c r="K740" s="382" t="str">
        <f t="shared" si="53"/>
        <v>PBS_2000_3500_90_600_2P</v>
      </c>
      <c r="L740" s="384" t="str">
        <f>Sprachen!$E$266</f>
        <v>nessuno</v>
      </c>
      <c r="M740" s="432" t="str">
        <f t="shared" si="51"/>
        <v>http://www.biral.ch/fileadmin/Media/images/Planungstools/PumpStationSelector_DWG/PBS_2000_3500_90_600_2P</v>
      </c>
      <c r="N740" s="382" t="str">
        <f t="shared" si="49"/>
        <v>PBS_2000_3500_90_600_2P</v>
      </c>
    </row>
    <row r="741" spans="11:14" x14ac:dyDescent="0.25">
      <c r="K741" s="382" t="str">
        <f t="shared" si="53"/>
        <v>PBS_2000_3750_90_600_2P</v>
      </c>
      <c r="L741" s="384" t="str">
        <f>Sprachen!$E$266</f>
        <v>nessuno</v>
      </c>
      <c r="M741" s="432" t="str">
        <f t="shared" si="51"/>
        <v>http://www.biral.ch/fileadmin/Media/images/Planungstools/PumpStationSelector_DWG/PBS_2000_3750_90_600_2P</v>
      </c>
      <c r="N741" s="382" t="str">
        <f t="shared" si="49"/>
        <v>PBS_2000_3750_90_600_2P</v>
      </c>
    </row>
    <row r="742" spans="11:14" x14ac:dyDescent="0.25">
      <c r="K742" s="382" t="str">
        <f t="shared" si="53"/>
        <v>PBS_2000_4000_90_600_2P</v>
      </c>
      <c r="L742" s="384" t="str">
        <f>Sprachen!$E$266</f>
        <v>nessuno</v>
      </c>
      <c r="M742" s="432" t="str">
        <f t="shared" si="51"/>
        <v>http://www.biral.ch/fileadmin/Media/images/Planungstools/PumpStationSelector_DWG/PBS_2000_4000_90_600_2P</v>
      </c>
      <c r="N742" s="382" t="str">
        <f t="shared" si="49"/>
        <v>PBS_2000_4000_90_600_2P</v>
      </c>
    </row>
    <row r="743" spans="11:14" x14ac:dyDescent="0.25">
      <c r="K743" s="382" t="str">
        <f t="shared" si="53"/>
        <v>PBS_2000_4250_90_600_2P</v>
      </c>
      <c r="L743" s="384" t="str">
        <f>Sprachen!$E$266</f>
        <v>nessuno</v>
      </c>
      <c r="M743" s="432" t="str">
        <f t="shared" si="51"/>
        <v>http://www.biral.ch/fileadmin/Media/images/Planungstools/PumpStationSelector_DWG/PBS_2000_4250_90_600_2P</v>
      </c>
      <c r="N743" s="382" t="str">
        <f t="shared" si="49"/>
        <v>PBS_2000_4250_90_600_2P</v>
      </c>
    </row>
    <row r="744" spans="11:14" x14ac:dyDescent="0.25">
      <c r="K744" s="382" t="str">
        <f t="shared" si="53"/>
        <v>PBS_2000_4500_90_600_2P</v>
      </c>
      <c r="L744" s="384" t="str">
        <f>Sprachen!$E$266</f>
        <v>nessuno</v>
      </c>
      <c r="M744" s="432" t="str">
        <f t="shared" si="51"/>
        <v>http://www.biral.ch/fileadmin/Media/images/Planungstools/PumpStationSelector_DWG/PBS_2000_4500_90_600_2P</v>
      </c>
      <c r="N744" s="382" t="str">
        <f t="shared" si="49"/>
        <v>PBS_2000_4500_90_600_2P</v>
      </c>
    </row>
    <row r="745" spans="11:14" x14ac:dyDescent="0.25">
      <c r="K745" s="382" t="str">
        <f t="shared" si="53"/>
        <v>PBS_2000_4750_90_600_2P</v>
      </c>
      <c r="L745" s="384" t="str">
        <f>Sprachen!$E$266</f>
        <v>nessuno</v>
      </c>
      <c r="M745" s="432" t="str">
        <f t="shared" si="51"/>
        <v>http://www.biral.ch/fileadmin/Media/images/Planungstools/PumpStationSelector_DWG/PBS_2000_4750_90_600_2P</v>
      </c>
      <c r="N745" s="382" t="str">
        <f t="shared" si="49"/>
        <v>PBS_2000_4750_90_600_2P</v>
      </c>
    </row>
    <row r="746" spans="11:14" x14ac:dyDescent="0.25">
      <c r="K746" s="382" t="str">
        <f t="shared" si="53"/>
        <v>PBS_2000_5000_90_600_2P</v>
      </c>
      <c r="L746" s="384" t="str">
        <f>Sprachen!$E$266</f>
        <v>nessuno</v>
      </c>
      <c r="M746" s="432" t="str">
        <f t="shared" si="51"/>
        <v>http://www.biral.ch/fileadmin/Media/images/Planungstools/PumpStationSelector_DWG/PBS_2000_5000_90_600_2P</v>
      </c>
      <c r="N746" s="382" t="str">
        <f t="shared" si="49"/>
        <v>PBS_2000_5000_90_600_2P</v>
      </c>
    </row>
    <row r="747" spans="11:14" x14ac:dyDescent="0.25">
      <c r="K747" s="382" t="str">
        <f t="shared" si="53"/>
        <v>PBS_2000_5250_90_600_2P</v>
      </c>
      <c r="L747" s="384" t="str">
        <f>Sprachen!$E$266</f>
        <v>nessuno</v>
      </c>
      <c r="M747" s="432" t="str">
        <f t="shared" si="51"/>
        <v>http://www.biral.ch/fileadmin/Media/images/Planungstools/PumpStationSelector_DWG/PBS_2000_5250_90_600_2P</v>
      </c>
      <c r="N747" s="382" t="str">
        <f t="shared" si="49"/>
        <v>PBS_2000_5250_90_600_2P</v>
      </c>
    </row>
    <row r="748" spans="11:14" x14ac:dyDescent="0.25">
      <c r="K748" s="382" t="str">
        <f t="shared" si="53"/>
        <v>PBS_2000_5500_90_600_2P</v>
      </c>
      <c r="L748" s="384" t="str">
        <f>Sprachen!$E$266</f>
        <v>nessuno</v>
      </c>
      <c r="M748" s="432" t="str">
        <f t="shared" si="51"/>
        <v>http://www.biral.ch/fileadmin/Media/images/Planungstools/PumpStationSelector_DWG/PBS_2000_5500_90_600_2P</v>
      </c>
      <c r="N748" s="382" t="str">
        <f t="shared" si="49"/>
        <v>PBS_2000_5500_90_600_2P</v>
      </c>
    </row>
    <row r="749" spans="11:14" x14ac:dyDescent="0.25">
      <c r="K749" s="382" t="str">
        <f t="shared" si="53"/>
        <v>PBS_2000_5750_90_600_2P</v>
      </c>
      <c r="L749" s="384" t="str">
        <f>Sprachen!$E$266</f>
        <v>nessuno</v>
      </c>
      <c r="M749" s="432" t="str">
        <f t="shared" si="51"/>
        <v>http://www.biral.ch/fileadmin/Media/images/Planungstools/PumpStationSelector_DWG/PBS_2000_5750_90_600_2P</v>
      </c>
      <c r="N749" s="382" t="str">
        <f t="shared" si="49"/>
        <v>PBS_2000_5750_90_600_2P</v>
      </c>
    </row>
    <row r="750" spans="11:14" x14ac:dyDescent="0.25">
      <c r="K750" s="382" t="str">
        <f t="shared" si="53"/>
        <v>PBS_2000_6000_90_600_2P</v>
      </c>
      <c r="L750" s="384" t="str">
        <f>Sprachen!$E$266</f>
        <v>nessuno</v>
      </c>
      <c r="M750" s="432" t="str">
        <f t="shared" si="51"/>
        <v>http://www.biral.ch/fileadmin/Media/images/Planungstools/PumpStationSelector_DWG/PBS_2000_6000_90_600_2P</v>
      </c>
      <c r="N750" s="382" t="str">
        <f t="shared" si="49"/>
        <v>PBS_2000_6000_90_600_2P</v>
      </c>
    </row>
    <row r="751" spans="11:14" x14ac:dyDescent="0.25">
      <c r="K751" s="382" t="str">
        <f t="shared" ref="K751:K769" si="54">$G$157&amp;"_"&amp;C158&amp;$E$161&amp;"_600"&amp;$F$159</f>
        <v>PBS_2000_1500_110_600_2P</v>
      </c>
      <c r="L751" s="384" t="str">
        <f>Sprachen!$E$266</f>
        <v>nessuno</v>
      </c>
      <c r="M751" s="432" t="str">
        <f t="shared" si="51"/>
        <v>http://www.biral.ch/fileadmin/Media/images/Planungstools/PumpStationSelector_DWG/PBS_2000_1500_110_600_2P</v>
      </c>
      <c r="N751" s="382" t="str">
        <f t="shared" si="49"/>
        <v>PBS_2000_1500_110_600_2P</v>
      </c>
    </row>
    <row r="752" spans="11:14" x14ac:dyDescent="0.25">
      <c r="K752" s="382" t="str">
        <f t="shared" si="54"/>
        <v>PBS_2000_1750_110_600_2P</v>
      </c>
      <c r="L752" s="384" t="str">
        <f>Sprachen!$E$266</f>
        <v>nessuno</v>
      </c>
      <c r="M752" s="432" t="str">
        <f t="shared" si="51"/>
        <v>http://www.biral.ch/fileadmin/Media/images/Planungstools/PumpStationSelector_DWG/PBS_2000_1750_110_600_2P</v>
      </c>
      <c r="N752" s="382" t="str">
        <f t="shared" si="49"/>
        <v>PBS_2000_1750_110_600_2P</v>
      </c>
    </row>
    <row r="753" spans="11:14" x14ac:dyDescent="0.25">
      <c r="K753" s="382" t="str">
        <f t="shared" si="54"/>
        <v>PBS_2000_2000_110_600_2P</v>
      </c>
      <c r="L753" s="384" t="str">
        <f>Sprachen!$E$266</f>
        <v>nessuno</v>
      </c>
      <c r="M753" s="432" t="str">
        <f t="shared" si="51"/>
        <v>http://www.biral.ch/fileadmin/Media/images/Planungstools/PumpStationSelector_DWG/PBS_2000_2000_110_600_2P</v>
      </c>
      <c r="N753" s="382" t="str">
        <f t="shared" ref="N753:N769" si="55">K753</f>
        <v>PBS_2000_2000_110_600_2P</v>
      </c>
    </row>
    <row r="754" spans="11:14" x14ac:dyDescent="0.25">
      <c r="K754" s="382" t="str">
        <f t="shared" si="54"/>
        <v>PBS_2000_2250_110_600_2P</v>
      </c>
      <c r="L754" s="384" t="str">
        <f>Sprachen!$E$266</f>
        <v>nessuno</v>
      </c>
      <c r="M754" s="432" t="str">
        <f t="shared" si="51"/>
        <v>http://www.biral.ch/fileadmin/Media/images/Planungstools/PumpStationSelector_DWG/PBS_2000_2250_110_600_2P</v>
      </c>
      <c r="N754" s="382" t="str">
        <f t="shared" si="55"/>
        <v>PBS_2000_2250_110_600_2P</v>
      </c>
    </row>
    <row r="755" spans="11:14" x14ac:dyDescent="0.25">
      <c r="K755" s="382" t="str">
        <f t="shared" si="54"/>
        <v>PBS_2000_2500_110_600_2P</v>
      </c>
      <c r="L755" s="384" t="str">
        <f>Sprachen!$E$266</f>
        <v>nessuno</v>
      </c>
      <c r="M755" s="432" t="str">
        <f t="shared" si="51"/>
        <v>http://www.biral.ch/fileadmin/Media/images/Planungstools/PumpStationSelector_DWG/PBS_2000_2500_110_600_2P</v>
      </c>
      <c r="N755" s="382" t="str">
        <f t="shared" si="55"/>
        <v>PBS_2000_2500_110_600_2P</v>
      </c>
    </row>
    <row r="756" spans="11:14" x14ac:dyDescent="0.25">
      <c r="K756" s="382" t="str">
        <f t="shared" si="54"/>
        <v>PBS_2000_2750_110_600_2P</v>
      </c>
      <c r="L756" s="384" t="str">
        <f>Sprachen!$E$266</f>
        <v>nessuno</v>
      </c>
      <c r="M756" s="432" t="str">
        <f t="shared" si="51"/>
        <v>http://www.biral.ch/fileadmin/Media/images/Planungstools/PumpStationSelector_DWG/PBS_2000_2750_110_600_2P</v>
      </c>
      <c r="N756" s="382" t="str">
        <f t="shared" si="55"/>
        <v>PBS_2000_2750_110_600_2P</v>
      </c>
    </row>
    <row r="757" spans="11:14" x14ac:dyDescent="0.25">
      <c r="K757" s="382" t="str">
        <f t="shared" si="54"/>
        <v>PBS_2000_3000_110_600_2P</v>
      </c>
      <c r="L757" s="384" t="str">
        <f>Sprachen!$E$266</f>
        <v>nessuno</v>
      </c>
      <c r="M757" s="432" t="str">
        <f t="shared" si="51"/>
        <v>http://www.biral.ch/fileadmin/Media/images/Planungstools/PumpStationSelector_DWG/PBS_2000_3000_110_600_2P</v>
      </c>
      <c r="N757" s="382" t="str">
        <f t="shared" si="55"/>
        <v>PBS_2000_3000_110_600_2P</v>
      </c>
    </row>
    <row r="758" spans="11:14" x14ac:dyDescent="0.25">
      <c r="K758" s="382" t="str">
        <f t="shared" si="54"/>
        <v>PBS_2000_3250_110_600_2P</v>
      </c>
      <c r="L758" s="384" t="str">
        <f>Sprachen!$E$266</f>
        <v>nessuno</v>
      </c>
      <c r="M758" s="432" t="str">
        <f t="shared" si="51"/>
        <v>http://www.biral.ch/fileadmin/Media/images/Planungstools/PumpStationSelector_DWG/PBS_2000_3250_110_600_2P</v>
      </c>
      <c r="N758" s="382" t="str">
        <f t="shared" si="55"/>
        <v>PBS_2000_3250_110_600_2P</v>
      </c>
    </row>
    <row r="759" spans="11:14" x14ac:dyDescent="0.25">
      <c r="K759" s="382" t="str">
        <f t="shared" si="54"/>
        <v>PBS_2000_3500_110_600_2P</v>
      </c>
      <c r="L759" s="384" t="str">
        <f>Sprachen!$E$266</f>
        <v>nessuno</v>
      </c>
      <c r="M759" s="432" t="str">
        <f t="shared" si="51"/>
        <v>http://www.biral.ch/fileadmin/Media/images/Planungstools/PumpStationSelector_DWG/PBS_2000_3500_110_600_2P</v>
      </c>
      <c r="N759" s="382" t="str">
        <f t="shared" si="55"/>
        <v>PBS_2000_3500_110_600_2P</v>
      </c>
    </row>
    <row r="760" spans="11:14" x14ac:dyDescent="0.25">
      <c r="K760" s="382" t="str">
        <f t="shared" si="54"/>
        <v>PBS_2000_3750_110_600_2P</v>
      </c>
      <c r="L760" s="384" t="str">
        <f>Sprachen!$E$266</f>
        <v>nessuno</v>
      </c>
      <c r="M760" s="432" t="str">
        <f t="shared" si="51"/>
        <v>http://www.biral.ch/fileadmin/Media/images/Planungstools/PumpStationSelector_DWG/PBS_2000_3750_110_600_2P</v>
      </c>
      <c r="N760" s="382" t="str">
        <f t="shared" si="55"/>
        <v>PBS_2000_3750_110_600_2P</v>
      </c>
    </row>
    <row r="761" spans="11:14" x14ac:dyDescent="0.25">
      <c r="K761" s="382" t="str">
        <f t="shared" si="54"/>
        <v>PBS_2000_4000_110_600_2P</v>
      </c>
      <c r="L761" s="384" t="str">
        <f>Sprachen!$E$266</f>
        <v>nessuno</v>
      </c>
      <c r="M761" s="432" t="str">
        <f t="shared" si="51"/>
        <v>http://www.biral.ch/fileadmin/Media/images/Planungstools/PumpStationSelector_DWG/PBS_2000_4000_110_600_2P</v>
      </c>
      <c r="N761" s="382" t="str">
        <f t="shared" si="55"/>
        <v>PBS_2000_4000_110_600_2P</v>
      </c>
    </row>
    <row r="762" spans="11:14" x14ac:dyDescent="0.25">
      <c r="K762" s="382" t="str">
        <f t="shared" si="54"/>
        <v>PBS_2000_4250_110_600_2P</v>
      </c>
      <c r="L762" s="384" t="str">
        <f>Sprachen!$E$266</f>
        <v>nessuno</v>
      </c>
      <c r="M762" s="432" t="str">
        <f t="shared" si="51"/>
        <v>http://www.biral.ch/fileadmin/Media/images/Planungstools/PumpStationSelector_DWG/PBS_2000_4250_110_600_2P</v>
      </c>
      <c r="N762" s="382" t="str">
        <f t="shared" si="55"/>
        <v>PBS_2000_4250_110_600_2P</v>
      </c>
    </row>
    <row r="763" spans="11:14" x14ac:dyDescent="0.25">
      <c r="K763" s="382" t="str">
        <f t="shared" si="54"/>
        <v>PBS_2000_4500_110_600_2P</v>
      </c>
      <c r="L763" s="384" t="str">
        <f>Sprachen!$E$266</f>
        <v>nessuno</v>
      </c>
      <c r="M763" s="432" t="str">
        <f t="shared" si="51"/>
        <v>http://www.biral.ch/fileadmin/Media/images/Planungstools/PumpStationSelector_DWG/PBS_2000_4500_110_600_2P</v>
      </c>
      <c r="N763" s="382" t="str">
        <f t="shared" si="55"/>
        <v>PBS_2000_4500_110_600_2P</v>
      </c>
    </row>
    <row r="764" spans="11:14" x14ac:dyDescent="0.25">
      <c r="K764" s="382" t="str">
        <f t="shared" si="54"/>
        <v>PBS_2000_4750_110_600_2P</v>
      </c>
      <c r="L764" s="384" t="str">
        <f>Sprachen!$E$266</f>
        <v>nessuno</v>
      </c>
      <c r="M764" s="432" t="str">
        <f t="shared" si="51"/>
        <v>http://www.biral.ch/fileadmin/Media/images/Planungstools/PumpStationSelector_DWG/PBS_2000_4750_110_600_2P</v>
      </c>
      <c r="N764" s="382" t="str">
        <f t="shared" si="55"/>
        <v>PBS_2000_4750_110_600_2P</v>
      </c>
    </row>
    <row r="765" spans="11:14" x14ac:dyDescent="0.25">
      <c r="K765" s="382" t="str">
        <f t="shared" si="54"/>
        <v>PBS_2000_5000_110_600_2P</v>
      </c>
      <c r="L765" s="384" t="str">
        <f>Sprachen!$E$266</f>
        <v>nessuno</v>
      </c>
      <c r="M765" s="432" t="str">
        <f t="shared" si="51"/>
        <v>http://www.biral.ch/fileadmin/Media/images/Planungstools/PumpStationSelector_DWG/PBS_2000_5000_110_600_2P</v>
      </c>
      <c r="N765" s="382" t="str">
        <f t="shared" si="55"/>
        <v>PBS_2000_5000_110_600_2P</v>
      </c>
    </row>
    <row r="766" spans="11:14" x14ac:dyDescent="0.25">
      <c r="K766" s="382" t="str">
        <f t="shared" si="54"/>
        <v>PBS_2000_5250_110_600_2P</v>
      </c>
      <c r="L766" s="384" t="str">
        <f>Sprachen!$E$266</f>
        <v>nessuno</v>
      </c>
      <c r="M766" s="432" t="str">
        <f t="shared" si="51"/>
        <v>http://www.biral.ch/fileadmin/Media/images/Planungstools/PumpStationSelector_DWG/PBS_2000_5250_110_600_2P</v>
      </c>
      <c r="N766" s="382" t="str">
        <f t="shared" si="55"/>
        <v>PBS_2000_5250_110_600_2P</v>
      </c>
    </row>
    <row r="767" spans="11:14" x14ac:dyDescent="0.25">
      <c r="K767" s="382" t="str">
        <f t="shared" si="54"/>
        <v>PBS_2000_5500_110_600_2P</v>
      </c>
      <c r="L767" s="384" t="str">
        <f>Sprachen!$E$266</f>
        <v>nessuno</v>
      </c>
      <c r="M767" s="432" t="str">
        <f t="shared" si="51"/>
        <v>http://www.biral.ch/fileadmin/Media/images/Planungstools/PumpStationSelector_DWG/PBS_2000_5500_110_600_2P</v>
      </c>
      <c r="N767" s="382" t="str">
        <f t="shared" si="55"/>
        <v>PBS_2000_5500_110_600_2P</v>
      </c>
    </row>
    <row r="768" spans="11:14" x14ac:dyDescent="0.25">
      <c r="K768" s="382" t="str">
        <f t="shared" si="54"/>
        <v>PBS_2000_5750_110_600_2P</v>
      </c>
      <c r="L768" s="384" t="str">
        <f>Sprachen!$E$266</f>
        <v>nessuno</v>
      </c>
      <c r="M768" s="432" t="str">
        <f t="shared" si="51"/>
        <v>http://www.biral.ch/fileadmin/Media/images/Planungstools/PumpStationSelector_DWG/PBS_2000_5750_110_600_2P</v>
      </c>
      <c r="N768" s="382" t="str">
        <f t="shared" si="55"/>
        <v>PBS_2000_5750_110_600_2P</v>
      </c>
    </row>
    <row r="769" spans="11:14" x14ac:dyDescent="0.25">
      <c r="K769" s="382" t="str">
        <f t="shared" si="54"/>
        <v>PBS_2000_6000_110_600_2P</v>
      </c>
      <c r="L769" s="384" t="str">
        <f>Sprachen!$E$266</f>
        <v>nessuno</v>
      </c>
      <c r="M769" s="432" t="str">
        <f t="shared" si="51"/>
        <v>http://www.biral.ch/fileadmin/Media/images/Planungstools/PumpStationSelector_DWG/PBS_2000_6000_110_600_2P</v>
      </c>
      <c r="N769" s="382" t="str">
        <f t="shared" si="55"/>
        <v>PBS_2000_6000_110_600_2P</v>
      </c>
    </row>
  </sheetData>
  <customSheetViews>
    <customSheetView guid="{293DBBB2-31AB-49B6-80A6-A09BA6CFC857}" state="hidden" topLeftCell="A25">
      <selection activeCell="E46" sqref="E46"/>
      <pageMargins left="0.7" right="0.7" top="0.78740157499999996" bottom="0.78740157499999996" header="0.3" footer="0.3"/>
    </customSheetView>
    <customSheetView guid="{94E92B89-7E11-4D1B-8822-B6B0BD88CF68}" state="hidden" topLeftCell="C28">
      <selection activeCell="J29" sqref="J29"/>
      <pageMargins left="0.7" right="0.7" top="0.78740157499999996" bottom="0.78740157499999996" header="0.3" footer="0.3"/>
    </customSheetView>
  </customSheetViews>
  <hyperlinks>
    <hyperlink ref="M64" r:id="rId1" display="http://www.biral.ch/home/docufinder.html"/>
    <hyperlink ref="M56" r:id="rId2" display="http://www.biral.ch/home/docufinder.html"/>
    <hyperlink ref="M378" r:id="rId3" display="http://www.biral.ch/home/docufinder.html"/>
    <hyperlink ref="M379:M420" r:id="rId4" display="http://www.biral.ch/home/docufinder.html"/>
    <hyperlink ref="M421" r:id="rId5" display="http://www.biral.ch/home/docufinder.html"/>
    <hyperlink ref="M526" r:id="rId6" display="http://www.biral.ch/home/docufinder.html"/>
    <hyperlink ref="M685" r:id="rId7" display="http://www.biral.ch/home/docufinder.html"/>
    <hyperlink ref="M422:M482" r:id="rId8" display="http://www.biral.ch/home/docufinder.html"/>
    <hyperlink ref="M527:M641" r:id="rId9" display="http://www.biral.ch/home/docufinder.html"/>
    <hyperlink ref="M686:M769" r:id="rId10" display="http://www.biral.ch/home/docufinder.html"/>
    <hyperlink ref="M483" r:id="rId11" display="http://www.biral.ch/home/docufinder.html"/>
    <hyperlink ref="M642" r:id="rId12" display="http://www.biral.ch/home/docufinder.html"/>
    <hyperlink ref="M484:M525" r:id="rId13" display="http://www.biral.ch/home/docufinder.html"/>
    <hyperlink ref="M643:M684" r:id="rId14" display="http://www.biral.ch/home/docufinder.html"/>
    <hyperlink ref="M316:M335" r:id="rId15" display="http://www.biral.ch/home/docufinder.html"/>
    <hyperlink ref="M295:M314" r:id="rId16" display="http://www.biral.ch/home/docufinder.html"/>
    <hyperlink ref="M141" r:id="rId17" display="http://www.biral.ch/home/docufinder.html"/>
    <hyperlink ref="M142:M216" r:id="rId18" display="http://www.biral.ch/home/docufinder.html"/>
    <hyperlink ref="M140" r:id="rId19" display="http://www.biral.ch/home/docufinder.html"/>
    <hyperlink ref="M218:M294" r:id="rId20" display="http://www.biral.ch/home/docufinder.html"/>
    <hyperlink ref="M219" r:id="rId21" display="http://www.biral.ch/home/docufinder.html"/>
    <hyperlink ref="M220:M294" r:id="rId22" display="http://www.biral.ch/home/docufinder.html"/>
    <hyperlink ref="M218" r:id="rId23" display="http://www.biral.ch/home/docufinder.html"/>
    <hyperlink ref="M315" r:id="rId24" display="http://www.biral.ch/home/docufinder.html"/>
    <hyperlink ref="M336" r:id="rId25" display="http://www.biral.ch/home/docufinder.html"/>
    <hyperlink ref="M54" r:id="rId26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8</vt:i4>
      </vt:variant>
    </vt:vector>
  </HeadingPairs>
  <TitlesOfParts>
    <vt:vector size="20" baseType="lpstr">
      <vt:lpstr>Schachtselector</vt:lpstr>
      <vt:lpstr>Schachtanfrage</vt:lpstr>
      <vt:lpstr>Sprachen</vt:lpstr>
      <vt:lpstr>Übertragung</vt:lpstr>
      <vt:lpstr>Aufsicht</vt:lpstr>
      <vt:lpstr>Kollision</vt:lpstr>
      <vt:lpstr>Tabelle2</vt:lpstr>
      <vt:lpstr>Tabelle3</vt:lpstr>
      <vt:lpstr>Linkauswahl</vt:lpstr>
      <vt:lpstr>PDL</vt:lpstr>
      <vt:lpstr>Berechnung PDL</vt:lpstr>
      <vt:lpstr>V Rechner</vt:lpstr>
      <vt:lpstr>au</vt:lpstr>
      <vt:lpstr>bd</vt:lpstr>
      <vt:lpstr>DA</vt:lpstr>
      <vt:lpstr>Schachtanfrage!DA_75</vt:lpstr>
      <vt:lpstr>Schachtanfrage!DAs</vt:lpstr>
      <vt:lpstr>PDL!Druckbereich</vt:lpstr>
      <vt:lpstr>Schachtanfrage!Druckbereich</vt:lpstr>
      <vt:lpstr>Schachtselector!Druckbereich</vt:lpstr>
    </vt:vector>
  </TitlesOfParts>
  <Company>Biral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Blaser Tim</dc:creator>
  <cp:lastModifiedBy>Danz Rosmarie</cp:lastModifiedBy>
  <cp:lastPrinted>2018-12-03T14:44:13Z</cp:lastPrinted>
  <dcterms:created xsi:type="dcterms:W3CDTF">2014-09-12T11:43:28Z</dcterms:created>
  <dcterms:modified xsi:type="dcterms:W3CDTF">2019-01-14T07:44:19Z</dcterms:modified>
</cp:coreProperties>
</file>